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Hunter Himes Final Thesis\Hunter Himes Thesis\Pricing &amp; Takeoff\"/>
    </mc:Choice>
  </mc:AlternateContent>
  <bookViews>
    <workbookView xWindow="0" yWindow="0" windowWidth="28800" windowHeight="14235" firstSheet="3" activeTab="10"/>
  </bookViews>
  <sheets>
    <sheet name="Pricing Master (16)" sheetId="38" r:id="rId1"/>
    <sheet name="QTO Master (3)" sheetId="35" r:id="rId2"/>
    <sheet name="Table of Contents" sheetId="42" r:id="rId3"/>
    <sheet name="Assumptions" sheetId="6" r:id="rId4"/>
    <sheet name="Recap" sheetId="25" r:id="rId5"/>
    <sheet name="Job Overhead" sheetId="30" r:id="rId6"/>
    <sheet name="SOV" sheetId="36" r:id="rId7"/>
    <sheet name="Site Work" sheetId="14" r:id="rId8"/>
    <sheet name="SW price" sheetId="17" r:id="rId9"/>
    <sheet name="SW price (2)" sheetId="18" r:id="rId10"/>
    <sheet name="Concrete" sheetId="1" r:id="rId11"/>
    <sheet name="Concrete (2)" sheetId="3" r:id="rId12"/>
    <sheet name="Concrete Price" sheetId="19" r:id="rId13"/>
    <sheet name="Masonry" sheetId="5" r:id="rId14"/>
    <sheet name="Masonry Price" sheetId="20" r:id="rId15"/>
    <sheet name="Steel" sheetId="7" r:id="rId16"/>
    <sheet name="Steel Price" sheetId="21" r:id="rId17"/>
    <sheet name="Wood" sheetId="8" r:id="rId18"/>
    <sheet name="Wood Price" sheetId="22" r:id="rId19"/>
    <sheet name="Insulation" sheetId="9" r:id="rId20"/>
    <sheet name="Roofing Price" sheetId="29" r:id="rId21"/>
    <sheet name="Caulking Price" sheetId="31" r:id="rId22"/>
    <sheet name="Doors and Windows" sheetId="10" r:id="rId23"/>
    <sheet name="Doors Windows Price" sheetId="23" r:id="rId24"/>
    <sheet name="Finshes" sheetId="11" r:id="rId25"/>
    <sheet name="Flooring Price" sheetId="27" r:id="rId26"/>
    <sheet name="Gypsum Board Price" sheetId="28" r:id="rId27"/>
    <sheet name="Paint Price" sheetId="32" r:id="rId28"/>
    <sheet name="Specialties" sheetId="12" r:id="rId29"/>
    <sheet name="Specialties Price" sheetId="33" r:id="rId30"/>
    <sheet name="MEP" sheetId="13" r:id="rId31"/>
    <sheet name="MEP Price" sheetId="26" r:id="rId32"/>
    <sheet name=" Alternate #1" sheetId="16" r:id="rId33"/>
    <sheet name="Alternate #1 price" sheetId="34" r:id="rId34"/>
    <sheet name="Alternate #2 " sheetId="40" r:id="rId35"/>
    <sheet name="Alternate #2 price" sheetId="41" r:id="rId3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2" l="1"/>
  <c r="M25" i="12"/>
  <c r="M30" i="11"/>
  <c r="M28" i="11"/>
  <c r="M26" i="11"/>
  <c r="M24" i="11"/>
  <c r="M20" i="11"/>
  <c r="M19" i="11"/>
  <c r="M16" i="11"/>
  <c r="M11" i="11"/>
  <c r="M10" i="11"/>
  <c r="M9" i="11"/>
  <c r="V9" i="41"/>
  <c r="K42" i="41"/>
  <c r="L42" i="41"/>
  <c r="I8" i="40"/>
  <c r="M8" i="40" s="1"/>
  <c r="E9" i="41" s="1"/>
  <c r="O14" i="34"/>
  <c r="R13" i="34"/>
  <c r="V9" i="34"/>
  <c r="S42" i="38"/>
  <c r="P42" i="38"/>
  <c r="K42" i="38"/>
  <c r="V41" i="38"/>
  <c r="K41" i="38"/>
  <c r="L41" i="38" s="1"/>
  <c r="H41" i="38"/>
  <c r="T41" i="38" s="1"/>
  <c r="U41" i="38" s="1"/>
  <c r="V40" i="38"/>
  <c r="T40" i="38"/>
  <c r="U40" i="38" s="1"/>
  <c r="L40" i="38"/>
  <c r="K40" i="38"/>
  <c r="H40" i="38"/>
  <c r="V39" i="38"/>
  <c r="K39" i="38"/>
  <c r="L39" i="38" s="1"/>
  <c r="H39" i="38"/>
  <c r="T39" i="38" s="1"/>
  <c r="U39" i="38" s="1"/>
  <c r="V38" i="38"/>
  <c r="K38" i="38"/>
  <c r="L38" i="38" s="1"/>
  <c r="H38" i="38"/>
  <c r="T38" i="38" s="1"/>
  <c r="U38" i="38" s="1"/>
  <c r="V37" i="38"/>
  <c r="K37" i="38"/>
  <c r="L37" i="38" s="1"/>
  <c r="H37" i="38"/>
  <c r="T37" i="38" s="1"/>
  <c r="U37" i="38" s="1"/>
  <c r="V36" i="38"/>
  <c r="T36" i="38"/>
  <c r="U36" i="38" s="1"/>
  <c r="L36" i="38"/>
  <c r="K36" i="38"/>
  <c r="H36" i="38"/>
  <c r="V35" i="38"/>
  <c r="K35" i="38"/>
  <c r="L35" i="38" s="1"/>
  <c r="H35" i="38"/>
  <c r="T35" i="38" s="1"/>
  <c r="U35" i="38" s="1"/>
  <c r="V34" i="38"/>
  <c r="K34" i="38"/>
  <c r="L34" i="38" s="1"/>
  <c r="H34" i="38"/>
  <c r="T34" i="38" s="1"/>
  <c r="U34" i="38" s="1"/>
  <c r="V33" i="38"/>
  <c r="K33" i="38"/>
  <c r="L33" i="38" s="1"/>
  <c r="H33" i="38"/>
  <c r="T33" i="38" s="1"/>
  <c r="U33" i="38" s="1"/>
  <c r="V32" i="38"/>
  <c r="T32" i="38"/>
  <c r="U32" i="38" s="1"/>
  <c r="L32" i="38"/>
  <c r="K32" i="38"/>
  <c r="H32" i="38"/>
  <c r="V31" i="38"/>
  <c r="K31" i="38"/>
  <c r="L31" i="38" s="1"/>
  <c r="H31" i="38"/>
  <c r="T31" i="38" s="1"/>
  <c r="U31" i="38" s="1"/>
  <c r="V30" i="38"/>
  <c r="K30" i="38"/>
  <c r="L30" i="38" s="1"/>
  <c r="H30" i="38"/>
  <c r="T30" i="38" s="1"/>
  <c r="U30" i="38" s="1"/>
  <c r="V29" i="38"/>
  <c r="K29" i="38"/>
  <c r="L29" i="38" s="1"/>
  <c r="H29" i="38"/>
  <c r="T29" i="38" s="1"/>
  <c r="U29" i="38" s="1"/>
  <c r="V28" i="38"/>
  <c r="T28" i="38"/>
  <c r="U28" i="38" s="1"/>
  <c r="L28" i="38"/>
  <c r="K28" i="38"/>
  <c r="H28" i="38"/>
  <c r="V27" i="38"/>
  <c r="K27" i="38"/>
  <c r="L27" i="38" s="1"/>
  <c r="H27" i="38"/>
  <c r="T27" i="38" s="1"/>
  <c r="U27" i="38" s="1"/>
  <c r="V26" i="38"/>
  <c r="K26" i="38"/>
  <c r="L26" i="38" s="1"/>
  <c r="H26" i="38"/>
  <c r="T26" i="38" s="1"/>
  <c r="U26" i="38" s="1"/>
  <c r="V25" i="38"/>
  <c r="K25" i="38"/>
  <c r="L25" i="38" s="1"/>
  <c r="H25" i="38"/>
  <c r="T25" i="38" s="1"/>
  <c r="U25" i="38" s="1"/>
  <c r="V24" i="38"/>
  <c r="T24" i="38"/>
  <c r="U24" i="38" s="1"/>
  <c r="L24" i="38"/>
  <c r="K24" i="38"/>
  <c r="H24" i="38"/>
  <c r="V23" i="38"/>
  <c r="K23" i="38"/>
  <c r="L23" i="38" s="1"/>
  <c r="H23" i="38"/>
  <c r="T23" i="38" s="1"/>
  <c r="U23" i="38" s="1"/>
  <c r="V22" i="38"/>
  <c r="K22" i="38"/>
  <c r="L22" i="38" s="1"/>
  <c r="H22" i="38"/>
  <c r="T22" i="38" s="1"/>
  <c r="U22" i="38" s="1"/>
  <c r="V21" i="38"/>
  <c r="K21" i="38"/>
  <c r="L21" i="38" s="1"/>
  <c r="H21" i="38"/>
  <c r="T21" i="38" s="1"/>
  <c r="U21" i="38" s="1"/>
  <c r="V20" i="38"/>
  <c r="T20" i="38"/>
  <c r="U20" i="38" s="1"/>
  <c r="L20" i="38"/>
  <c r="K20" i="38"/>
  <c r="H20" i="38"/>
  <c r="V19" i="38"/>
  <c r="K19" i="38"/>
  <c r="L19" i="38" s="1"/>
  <c r="H19" i="38"/>
  <c r="T19" i="38" s="1"/>
  <c r="U19" i="38" s="1"/>
  <c r="V18" i="38"/>
  <c r="K18" i="38"/>
  <c r="L18" i="38" s="1"/>
  <c r="H18" i="38"/>
  <c r="T18" i="38" s="1"/>
  <c r="U18" i="38" s="1"/>
  <c r="V17" i="38"/>
  <c r="K17" i="38"/>
  <c r="L17" i="38" s="1"/>
  <c r="H17" i="38"/>
  <c r="T17" i="38" s="1"/>
  <c r="U17" i="38" s="1"/>
  <c r="V16" i="38"/>
  <c r="T16" i="38"/>
  <c r="U16" i="38" s="1"/>
  <c r="L16" i="38"/>
  <c r="K16" i="38"/>
  <c r="H16" i="38"/>
  <c r="V15" i="38"/>
  <c r="K15" i="38"/>
  <c r="L15" i="38" s="1"/>
  <c r="H15" i="38"/>
  <c r="T15" i="38" s="1"/>
  <c r="U15" i="38" s="1"/>
  <c r="V14" i="38"/>
  <c r="K14" i="38"/>
  <c r="L14" i="38" s="1"/>
  <c r="H14" i="38"/>
  <c r="T14" i="38" s="1"/>
  <c r="U14" i="38" s="1"/>
  <c r="V13" i="38"/>
  <c r="K13" i="38"/>
  <c r="L13" i="38" s="1"/>
  <c r="H13" i="38"/>
  <c r="T13" i="38" s="1"/>
  <c r="U13" i="38" s="1"/>
  <c r="V12" i="38"/>
  <c r="T12" i="38"/>
  <c r="U12" i="38" s="1"/>
  <c r="L12" i="38"/>
  <c r="K12" i="38"/>
  <c r="H12" i="38"/>
  <c r="V11" i="38"/>
  <c r="K11" i="38"/>
  <c r="L11" i="38" s="1"/>
  <c r="H11" i="38"/>
  <c r="T11" i="38" s="1"/>
  <c r="U11" i="38" s="1"/>
  <c r="V10" i="38"/>
  <c r="K10" i="38"/>
  <c r="L10" i="38" s="1"/>
  <c r="H10" i="38"/>
  <c r="T10" i="38" s="1"/>
  <c r="U10" i="38" s="1"/>
  <c r="V9" i="38"/>
  <c r="K9" i="38"/>
  <c r="L9" i="38" s="1"/>
  <c r="H9" i="38"/>
  <c r="T9" i="38" s="1"/>
  <c r="U9" i="38" s="1"/>
  <c r="V8" i="38"/>
  <c r="T8" i="38"/>
  <c r="T42" i="38" s="1"/>
  <c r="L8" i="38"/>
  <c r="L42" i="38" s="1"/>
  <c r="K8" i="38"/>
  <c r="H8" i="38"/>
  <c r="I8" i="16"/>
  <c r="K8" i="16" s="1"/>
  <c r="M8" i="16" s="1"/>
  <c r="E9" i="34" s="1"/>
  <c r="E8" i="16"/>
  <c r="H9" i="34" l="1"/>
  <c r="K9" i="34"/>
  <c r="H9" i="41"/>
  <c r="H42" i="41" s="1"/>
  <c r="K9" i="41"/>
  <c r="L9" i="41" s="1"/>
  <c r="P9" i="41" s="1"/>
  <c r="P42" i="41" s="1"/>
  <c r="S42" i="41"/>
  <c r="U8" i="38"/>
  <c r="H42" i="38"/>
  <c r="L9" i="34" l="1"/>
  <c r="P9" i="34" s="1"/>
  <c r="S9" i="34"/>
  <c r="T9" i="41"/>
  <c r="U9" i="41" s="1"/>
  <c r="T9" i="34" l="1"/>
  <c r="U9" i="34" s="1"/>
  <c r="T42" i="41"/>
  <c r="T44" i="41" s="1"/>
  <c r="C18" i="36" l="1"/>
  <c r="H23" i="25" l="1"/>
  <c r="E23" i="25"/>
  <c r="F23" i="25"/>
  <c r="G23" i="25"/>
  <c r="P11" i="33" l="1"/>
  <c r="E13" i="33"/>
  <c r="P9" i="33"/>
  <c r="S42" i="34"/>
  <c r="P42" i="34"/>
  <c r="K42" i="34"/>
  <c r="V8" i="34"/>
  <c r="T8" i="34"/>
  <c r="T42" i="34" s="1"/>
  <c r="T44" i="34" s="1"/>
  <c r="L8" i="34"/>
  <c r="L42" i="34" s="1"/>
  <c r="K8" i="34"/>
  <c r="H8" i="34"/>
  <c r="P11" i="32"/>
  <c r="E11" i="32"/>
  <c r="H42" i="34" l="1"/>
  <c r="U8" i="34"/>
  <c r="S42" i="33"/>
  <c r="P42" i="33"/>
  <c r="E18" i="25" s="1"/>
  <c r="K42" i="33"/>
  <c r="V13" i="33"/>
  <c r="K13" i="33"/>
  <c r="L13" i="33" s="1"/>
  <c r="P13" i="33" s="1"/>
  <c r="H13" i="33"/>
  <c r="T13" i="33" s="1"/>
  <c r="U13" i="33" s="1"/>
  <c r="V11" i="33"/>
  <c r="K11" i="33"/>
  <c r="L11" i="33" s="1"/>
  <c r="H11" i="33"/>
  <c r="T11" i="33" s="1"/>
  <c r="U11" i="33" s="1"/>
  <c r="V9" i="33"/>
  <c r="K9" i="33"/>
  <c r="L9" i="33" s="1"/>
  <c r="H9" i="33"/>
  <c r="T9" i="33" s="1"/>
  <c r="U9" i="33" s="1"/>
  <c r="L42" i="33"/>
  <c r="I20" i="11"/>
  <c r="P9" i="31"/>
  <c r="E9" i="31"/>
  <c r="P25" i="29"/>
  <c r="S42" i="32"/>
  <c r="V11" i="32"/>
  <c r="K11" i="32"/>
  <c r="L11" i="32" s="1"/>
  <c r="H11" i="32"/>
  <c r="T11" i="32" s="1"/>
  <c r="U11" i="32" s="1"/>
  <c r="V9" i="32"/>
  <c r="E25" i="29"/>
  <c r="P23" i="29"/>
  <c r="E23" i="29"/>
  <c r="S14" i="29"/>
  <c r="R17" i="29"/>
  <c r="P14" i="29"/>
  <c r="O17" i="29"/>
  <c r="E14" i="29"/>
  <c r="O12" i="29"/>
  <c r="S42" i="31"/>
  <c r="P42" i="31"/>
  <c r="K42" i="31"/>
  <c r="V9" i="31"/>
  <c r="K9" i="31"/>
  <c r="L9" i="31" s="1"/>
  <c r="H9" i="31"/>
  <c r="T9" i="31" s="1"/>
  <c r="U9" i="31" s="1"/>
  <c r="V8" i="31"/>
  <c r="L42" i="31"/>
  <c r="P32" i="30"/>
  <c r="L36" i="30"/>
  <c r="L35" i="30"/>
  <c r="J18" i="30"/>
  <c r="P31" i="30"/>
  <c r="P30" i="30"/>
  <c r="L7" i="30"/>
  <c r="P28" i="30"/>
  <c r="P27" i="30"/>
  <c r="L26" i="30"/>
  <c r="P25" i="30"/>
  <c r="P23" i="30"/>
  <c r="P22" i="30"/>
  <c r="P21" i="30"/>
  <c r="P20" i="30"/>
  <c r="P19" i="30"/>
  <c r="L17" i="30"/>
  <c r="P16" i="30"/>
  <c r="P15" i="30"/>
  <c r="L13" i="30"/>
  <c r="L14" i="30"/>
  <c r="P11" i="30"/>
  <c r="P10" i="30"/>
  <c r="P9" i="30"/>
  <c r="J8" i="30"/>
  <c r="T42" i="33" l="1"/>
  <c r="H42" i="33"/>
  <c r="D18" i="25" s="1"/>
  <c r="H18" i="25" s="1"/>
  <c r="T42" i="31"/>
  <c r="T43" i="31" s="1"/>
  <c r="G13" i="25" s="1"/>
  <c r="H13" i="25" s="1"/>
  <c r="H42" i="31"/>
  <c r="N42" i="30"/>
  <c r="J42" i="30"/>
  <c r="L42" i="30"/>
  <c r="P42" i="30" l="1"/>
  <c r="E16" i="28" l="1"/>
  <c r="K42" i="29"/>
  <c r="V25" i="29"/>
  <c r="K25" i="29"/>
  <c r="L25" i="29" s="1"/>
  <c r="H25" i="29"/>
  <c r="T25" i="29" s="1"/>
  <c r="U25" i="29" s="1"/>
  <c r="V23" i="29"/>
  <c r="K23" i="29"/>
  <c r="L23" i="29" s="1"/>
  <c r="H23" i="29"/>
  <c r="T23" i="29" s="1"/>
  <c r="U23" i="29" s="1"/>
  <c r="V21" i="29"/>
  <c r="V19" i="29"/>
  <c r="V14" i="29"/>
  <c r="K14" i="29"/>
  <c r="L14" i="29" s="1"/>
  <c r="H14" i="29"/>
  <c r="T14" i="29" s="1"/>
  <c r="U14" i="29" s="1"/>
  <c r="V9" i="29"/>
  <c r="L42" i="29"/>
  <c r="O22" i="27" l="1"/>
  <c r="E18" i="27"/>
  <c r="O17" i="27"/>
  <c r="O13" i="27"/>
  <c r="I10" i="11"/>
  <c r="E11" i="27"/>
  <c r="K11" i="27" s="1"/>
  <c r="L11" i="27" s="1"/>
  <c r="P11" i="27" s="1"/>
  <c r="S42" i="28"/>
  <c r="V16" i="28"/>
  <c r="K16" i="28"/>
  <c r="L16" i="28" s="1"/>
  <c r="P16" i="28" s="1"/>
  <c r="H16" i="28"/>
  <c r="T16" i="28" s="1"/>
  <c r="U16" i="28" s="1"/>
  <c r="V14" i="28"/>
  <c r="V12" i="28"/>
  <c r="V10" i="28"/>
  <c r="E13" i="26"/>
  <c r="H13" i="26" s="1"/>
  <c r="T13" i="26" s="1"/>
  <c r="E11" i="26"/>
  <c r="H11" i="26" s="1"/>
  <c r="T11" i="26" s="1"/>
  <c r="E9" i="26"/>
  <c r="H9" i="26" s="1"/>
  <c r="T9" i="26" s="1"/>
  <c r="S42" i="27"/>
  <c r="T22" i="27"/>
  <c r="T21" i="27"/>
  <c r="V20" i="27"/>
  <c r="V18" i="27"/>
  <c r="K18" i="27"/>
  <c r="L18" i="27" s="1"/>
  <c r="P18" i="27" s="1"/>
  <c r="H18" i="27"/>
  <c r="V17" i="27"/>
  <c r="V16" i="27"/>
  <c r="V15" i="27"/>
  <c r="V11" i="27"/>
  <c r="V10" i="27"/>
  <c r="E14" i="25"/>
  <c r="P20" i="23"/>
  <c r="E20" i="23"/>
  <c r="P17" i="23"/>
  <c r="E17" i="23"/>
  <c r="P18" i="23"/>
  <c r="E18" i="23"/>
  <c r="P15" i="23"/>
  <c r="P13" i="23"/>
  <c r="E13" i="23"/>
  <c r="P11" i="23"/>
  <c r="E11" i="23"/>
  <c r="P9" i="23"/>
  <c r="E9" i="23"/>
  <c r="S42" i="26"/>
  <c r="P42" i="26"/>
  <c r="K42" i="26"/>
  <c r="F28" i="25"/>
  <c r="F32" i="25" s="1"/>
  <c r="P41" i="22"/>
  <c r="M109" i="8"/>
  <c r="P40" i="21"/>
  <c r="E40" i="21"/>
  <c r="M73" i="7"/>
  <c r="P40" i="22"/>
  <c r="E40" i="22"/>
  <c r="P39" i="22"/>
  <c r="E39" i="22"/>
  <c r="E37" i="22"/>
  <c r="M102" i="8"/>
  <c r="I99" i="8"/>
  <c r="P35" i="22"/>
  <c r="E35" i="22"/>
  <c r="P33" i="22"/>
  <c r="E33" i="22"/>
  <c r="M91" i="8"/>
  <c r="P32" i="22"/>
  <c r="E32" i="22"/>
  <c r="P29" i="22"/>
  <c r="E29" i="22"/>
  <c r="P28" i="22"/>
  <c r="E28" i="22"/>
  <c r="P25" i="22"/>
  <c r="K25" i="22"/>
  <c r="E25" i="22"/>
  <c r="E24" i="22"/>
  <c r="E21" i="22"/>
  <c r="P20" i="22"/>
  <c r="E20" i="22"/>
  <c r="P19" i="22"/>
  <c r="E19" i="22"/>
  <c r="P16" i="22"/>
  <c r="J16" i="22"/>
  <c r="E16" i="22"/>
  <c r="E14" i="22"/>
  <c r="J14" i="22"/>
  <c r="S9" i="22"/>
  <c r="P9" i="22"/>
  <c r="O12" i="22"/>
  <c r="E9" i="22"/>
  <c r="S42" i="23"/>
  <c r="P42" i="23"/>
  <c r="K42" i="23"/>
  <c r="V20" i="23"/>
  <c r="K20" i="23"/>
  <c r="L20" i="23" s="1"/>
  <c r="H20" i="23"/>
  <c r="T20" i="23" s="1"/>
  <c r="U20" i="23" s="1"/>
  <c r="V18" i="23"/>
  <c r="K18" i="23"/>
  <c r="L18" i="23" s="1"/>
  <c r="H18" i="23"/>
  <c r="T18" i="23" s="1"/>
  <c r="U18" i="23" s="1"/>
  <c r="V17" i="23"/>
  <c r="K17" i="23"/>
  <c r="L17" i="23" s="1"/>
  <c r="H17" i="23"/>
  <c r="T17" i="23" s="1"/>
  <c r="U17" i="23" s="1"/>
  <c r="V15" i="23"/>
  <c r="K15" i="23"/>
  <c r="L15" i="23" s="1"/>
  <c r="H15" i="23"/>
  <c r="T15" i="23" s="1"/>
  <c r="U15" i="23" s="1"/>
  <c r="V13" i="23"/>
  <c r="K13" i="23"/>
  <c r="L13" i="23" s="1"/>
  <c r="H13" i="23"/>
  <c r="T13" i="23" s="1"/>
  <c r="U13" i="23" s="1"/>
  <c r="V11" i="23"/>
  <c r="K11" i="23"/>
  <c r="L11" i="23" s="1"/>
  <c r="H11" i="23"/>
  <c r="T11" i="23" s="1"/>
  <c r="U11" i="23" s="1"/>
  <c r="V9" i="23"/>
  <c r="K9" i="23"/>
  <c r="L9" i="23" s="1"/>
  <c r="H9" i="23"/>
  <c r="T9" i="23" s="1"/>
  <c r="U9" i="23" s="1"/>
  <c r="L42" i="23"/>
  <c r="P36" i="21"/>
  <c r="O39" i="21"/>
  <c r="E36" i="21"/>
  <c r="M71" i="7"/>
  <c r="M75" i="7"/>
  <c r="U9" i="26" l="1"/>
  <c r="T30" i="26"/>
  <c r="G20" i="25" s="1"/>
  <c r="H20" i="25" s="1"/>
  <c r="U11" i="26"/>
  <c r="T33" i="26"/>
  <c r="G21" i="25" s="1"/>
  <c r="H21" i="25" s="1"/>
  <c r="U13" i="26"/>
  <c r="T35" i="26"/>
  <c r="G19" i="25" s="1"/>
  <c r="H19" i="25" s="1"/>
  <c r="T18" i="27"/>
  <c r="U18" i="27" s="1"/>
  <c r="H11" i="27"/>
  <c r="T11" i="27" s="1"/>
  <c r="U11" i="27" s="1"/>
  <c r="H42" i="26"/>
  <c r="T42" i="23"/>
  <c r="L42" i="26"/>
  <c r="H42" i="23"/>
  <c r="D14" i="25" s="1"/>
  <c r="H14" i="25" s="1"/>
  <c r="P34" i="21"/>
  <c r="E34" i="21"/>
  <c r="P32" i="21"/>
  <c r="E32" i="21"/>
  <c r="S30" i="21"/>
  <c r="P30" i="21"/>
  <c r="P40" i="20"/>
  <c r="P42" i="20" s="1"/>
  <c r="M36" i="5"/>
  <c r="P28" i="21"/>
  <c r="E28" i="21"/>
  <c r="S21" i="21"/>
  <c r="R23" i="21"/>
  <c r="P21" i="21"/>
  <c r="O26" i="21"/>
  <c r="E21" i="21"/>
  <c r="O19" i="21"/>
  <c r="E15" i="21"/>
  <c r="P13" i="21"/>
  <c r="E13" i="21"/>
  <c r="S9" i="21"/>
  <c r="P9" i="21"/>
  <c r="O11" i="21"/>
  <c r="E9" i="21"/>
  <c r="S42" i="22"/>
  <c r="V41" i="22"/>
  <c r="K41" i="22"/>
  <c r="L41" i="22" s="1"/>
  <c r="H41" i="22"/>
  <c r="T41" i="22" s="1"/>
  <c r="U41" i="22" s="1"/>
  <c r="V40" i="22"/>
  <c r="K40" i="22"/>
  <c r="L40" i="22" s="1"/>
  <c r="H40" i="22"/>
  <c r="T40" i="22" s="1"/>
  <c r="U40" i="22" s="1"/>
  <c r="V39" i="22"/>
  <c r="K39" i="22"/>
  <c r="L39" i="22" s="1"/>
  <c r="H39" i="22"/>
  <c r="T39" i="22" s="1"/>
  <c r="U39" i="22" s="1"/>
  <c r="V37" i="22"/>
  <c r="K37" i="22"/>
  <c r="L37" i="22" s="1"/>
  <c r="P37" i="22" s="1"/>
  <c r="H37" i="22"/>
  <c r="V35" i="22"/>
  <c r="K35" i="22"/>
  <c r="L35" i="22" s="1"/>
  <c r="H35" i="22"/>
  <c r="T35" i="22" s="1"/>
  <c r="U35" i="22" s="1"/>
  <c r="V33" i="22"/>
  <c r="K33" i="22"/>
  <c r="L33" i="22" s="1"/>
  <c r="H33" i="22"/>
  <c r="T33" i="22" s="1"/>
  <c r="U33" i="22" s="1"/>
  <c r="V32" i="22"/>
  <c r="K32" i="22"/>
  <c r="L32" i="22" s="1"/>
  <c r="H32" i="22"/>
  <c r="T32" i="22" s="1"/>
  <c r="U32" i="22" s="1"/>
  <c r="V29" i="22"/>
  <c r="K29" i="22"/>
  <c r="L29" i="22" s="1"/>
  <c r="H29" i="22"/>
  <c r="T29" i="22" s="1"/>
  <c r="U29" i="22" s="1"/>
  <c r="V28" i="22"/>
  <c r="K28" i="22"/>
  <c r="L28" i="22" s="1"/>
  <c r="H28" i="22"/>
  <c r="T28" i="22" s="1"/>
  <c r="U28" i="22" s="1"/>
  <c r="V25" i="22"/>
  <c r="L25" i="22"/>
  <c r="H25" i="22"/>
  <c r="T25" i="22" s="1"/>
  <c r="U25" i="22" s="1"/>
  <c r="V24" i="22"/>
  <c r="K24" i="22"/>
  <c r="L24" i="22" s="1"/>
  <c r="P24" i="22" s="1"/>
  <c r="H24" i="22"/>
  <c r="T24" i="22" s="1"/>
  <c r="U24" i="22" s="1"/>
  <c r="V21" i="22"/>
  <c r="K21" i="22"/>
  <c r="L21" i="22" s="1"/>
  <c r="P21" i="22" s="1"/>
  <c r="H21" i="22"/>
  <c r="V20" i="22"/>
  <c r="K20" i="22"/>
  <c r="L20" i="22" s="1"/>
  <c r="H20" i="22"/>
  <c r="T20" i="22" s="1"/>
  <c r="U20" i="22" s="1"/>
  <c r="V19" i="22"/>
  <c r="K19" i="22"/>
  <c r="L19" i="22" s="1"/>
  <c r="H19" i="22"/>
  <c r="T19" i="22" s="1"/>
  <c r="U19" i="22" s="1"/>
  <c r="V16" i="22"/>
  <c r="K16" i="22"/>
  <c r="L16" i="22" s="1"/>
  <c r="H16" i="22"/>
  <c r="T16" i="22" s="1"/>
  <c r="U16" i="22" s="1"/>
  <c r="V14" i="22"/>
  <c r="K14" i="22"/>
  <c r="L14" i="22" s="1"/>
  <c r="P14" i="22" s="1"/>
  <c r="H14" i="22"/>
  <c r="V9" i="22"/>
  <c r="T9" i="22"/>
  <c r="U9" i="22" s="1"/>
  <c r="L9" i="22"/>
  <c r="K9" i="22"/>
  <c r="H9" i="22"/>
  <c r="K42" i="22"/>
  <c r="P39" i="20"/>
  <c r="E39" i="20"/>
  <c r="M33" i="5"/>
  <c r="M32" i="5"/>
  <c r="P38" i="20"/>
  <c r="E38" i="20"/>
  <c r="P36" i="20"/>
  <c r="P32" i="20"/>
  <c r="P31" i="20"/>
  <c r="P30" i="20"/>
  <c r="P27" i="20"/>
  <c r="M24" i="5"/>
  <c r="O25" i="20"/>
  <c r="P23" i="20" s="1"/>
  <c r="E23" i="20"/>
  <c r="H23" i="20"/>
  <c r="K23" i="20"/>
  <c r="L23" i="20"/>
  <c r="O21" i="20"/>
  <c r="E18" i="20"/>
  <c r="O16" i="20"/>
  <c r="E14" i="20"/>
  <c r="O11" i="20"/>
  <c r="E9" i="20"/>
  <c r="V40" i="21"/>
  <c r="K40" i="21"/>
  <c r="L40" i="21" s="1"/>
  <c r="H40" i="21"/>
  <c r="T40" i="21" s="1"/>
  <c r="U40" i="21" s="1"/>
  <c r="V36" i="21"/>
  <c r="K36" i="21"/>
  <c r="H36" i="21"/>
  <c r="T36" i="21" s="1"/>
  <c r="U36" i="21" s="1"/>
  <c r="V34" i="21"/>
  <c r="K34" i="21"/>
  <c r="L34" i="21" s="1"/>
  <c r="H34" i="21"/>
  <c r="T34" i="21" s="1"/>
  <c r="U34" i="21" s="1"/>
  <c r="V32" i="21"/>
  <c r="K32" i="21"/>
  <c r="L32" i="21" s="1"/>
  <c r="H32" i="21"/>
  <c r="T32" i="21" s="1"/>
  <c r="U32" i="21" s="1"/>
  <c r="V30" i="21"/>
  <c r="K30" i="21"/>
  <c r="L30" i="21" s="1"/>
  <c r="H30" i="21"/>
  <c r="T30" i="21" s="1"/>
  <c r="U30" i="21" s="1"/>
  <c r="V28" i="21"/>
  <c r="K28" i="21"/>
  <c r="L28" i="21" s="1"/>
  <c r="H28" i="21"/>
  <c r="T28" i="21" s="1"/>
  <c r="U28" i="21" s="1"/>
  <c r="V21" i="21"/>
  <c r="K21" i="21"/>
  <c r="L21" i="21" s="1"/>
  <c r="H21" i="21"/>
  <c r="T21" i="21" s="1"/>
  <c r="U21" i="21" s="1"/>
  <c r="V15" i="21"/>
  <c r="K15" i="21"/>
  <c r="L15" i="21" s="1"/>
  <c r="P15" i="21" s="1"/>
  <c r="H15" i="21"/>
  <c r="V13" i="21"/>
  <c r="K13" i="21"/>
  <c r="L13" i="21" s="1"/>
  <c r="H13" i="21"/>
  <c r="T13" i="21" s="1"/>
  <c r="U13" i="21" s="1"/>
  <c r="V9" i="21"/>
  <c r="K9" i="21"/>
  <c r="L9" i="21" s="1"/>
  <c r="H9" i="21"/>
  <c r="T9" i="21" s="1"/>
  <c r="U9" i="21" s="1"/>
  <c r="P38" i="19"/>
  <c r="O41" i="19"/>
  <c r="E38" i="19"/>
  <c r="M61" i="3"/>
  <c r="I36" i="1"/>
  <c r="G36" i="1"/>
  <c r="P36" i="19"/>
  <c r="E36" i="19"/>
  <c r="M58" i="3"/>
  <c r="M59" i="3"/>
  <c r="S33" i="19"/>
  <c r="P33" i="19"/>
  <c r="E33" i="19"/>
  <c r="S29" i="19"/>
  <c r="R31" i="19"/>
  <c r="P29" i="19"/>
  <c r="O31" i="19"/>
  <c r="E29" i="19"/>
  <c r="O27" i="19"/>
  <c r="E25" i="19"/>
  <c r="E22" i="19"/>
  <c r="O20" i="19"/>
  <c r="E16" i="19"/>
  <c r="E9" i="19"/>
  <c r="O14" i="19"/>
  <c r="R13" i="19"/>
  <c r="L42" i="21" l="1"/>
  <c r="K42" i="21"/>
  <c r="S15" i="21"/>
  <c r="S42" i="21" s="1"/>
  <c r="P42" i="21"/>
  <c r="T42" i="26"/>
  <c r="T37" i="22"/>
  <c r="U37" i="22" s="1"/>
  <c r="P42" i="22"/>
  <c r="T21" i="22"/>
  <c r="U21" i="22" s="1"/>
  <c r="T14" i="22"/>
  <c r="U14" i="22" s="1"/>
  <c r="H42" i="22"/>
  <c r="L36" i="21"/>
  <c r="H42" i="21"/>
  <c r="L42" i="22"/>
  <c r="T15" i="21" l="1"/>
  <c r="U15" i="21" s="1"/>
  <c r="T42" i="22"/>
  <c r="T43" i="22" s="1"/>
  <c r="G11" i="25" s="1"/>
  <c r="H11" i="25" s="1"/>
  <c r="T42" i="21"/>
  <c r="T43" i="21" s="1"/>
  <c r="G10" i="25" s="1"/>
  <c r="H10" i="25" s="1"/>
  <c r="V40" i="20" l="1"/>
  <c r="K40" i="20"/>
  <c r="L40" i="20" s="1"/>
  <c r="H40" i="20"/>
  <c r="T40" i="20" s="1"/>
  <c r="U40" i="20" s="1"/>
  <c r="V39" i="20"/>
  <c r="K39" i="20"/>
  <c r="L39" i="20" s="1"/>
  <c r="H39" i="20"/>
  <c r="T39" i="20" s="1"/>
  <c r="U39" i="20" s="1"/>
  <c r="V38" i="20"/>
  <c r="K38" i="20"/>
  <c r="L38" i="20" s="1"/>
  <c r="H38" i="20"/>
  <c r="T38" i="20" s="1"/>
  <c r="U38" i="20" s="1"/>
  <c r="V36" i="20"/>
  <c r="K36" i="20"/>
  <c r="L36" i="20" s="1"/>
  <c r="H36" i="20"/>
  <c r="T36" i="20" s="1"/>
  <c r="U36" i="20" s="1"/>
  <c r="V34" i="20"/>
  <c r="H34" i="20"/>
  <c r="T34" i="20" s="1"/>
  <c r="U34" i="20" s="1"/>
  <c r="V32" i="20"/>
  <c r="K32" i="20"/>
  <c r="L32" i="20" s="1"/>
  <c r="H32" i="20"/>
  <c r="T32" i="20" s="1"/>
  <c r="U32" i="20" s="1"/>
  <c r="V31" i="20"/>
  <c r="K31" i="20"/>
  <c r="L31" i="20" s="1"/>
  <c r="H31" i="20"/>
  <c r="T31" i="20" s="1"/>
  <c r="U31" i="20" s="1"/>
  <c r="V30" i="20"/>
  <c r="K30" i="20"/>
  <c r="L30" i="20" s="1"/>
  <c r="H30" i="20"/>
  <c r="T30" i="20" s="1"/>
  <c r="U30" i="20" s="1"/>
  <c r="V27" i="20"/>
  <c r="K27" i="20"/>
  <c r="L27" i="20" s="1"/>
  <c r="H27" i="20"/>
  <c r="T27" i="20" s="1"/>
  <c r="U27" i="20" s="1"/>
  <c r="V23" i="20"/>
  <c r="T23" i="20"/>
  <c r="U23" i="20" s="1"/>
  <c r="V18" i="20"/>
  <c r="K18" i="20"/>
  <c r="H18" i="20"/>
  <c r="V14" i="20"/>
  <c r="K14" i="20"/>
  <c r="L14" i="20" s="1"/>
  <c r="P14" i="20" s="1"/>
  <c r="H14" i="20"/>
  <c r="T14" i="20" s="1"/>
  <c r="U14" i="20" s="1"/>
  <c r="V9" i="20"/>
  <c r="K9" i="20"/>
  <c r="L9" i="20" s="1"/>
  <c r="P9" i="20" s="1"/>
  <c r="H9" i="20"/>
  <c r="K42" i="20"/>
  <c r="L18" i="20" l="1"/>
  <c r="P18" i="20" s="1"/>
  <c r="S18" i="20"/>
  <c r="S42" i="20" s="1"/>
  <c r="L42" i="20"/>
  <c r="T9" i="20"/>
  <c r="U9" i="20" s="1"/>
  <c r="H42" i="20"/>
  <c r="E36" i="18"/>
  <c r="E34" i="18"/>
  <c r="P32" i="18"/>
  <c r="E30" i="18"/>
  <c r="O28" i="18"/>
  <c r="E26" i="18"/>
  <c r="O24" i="18"/>
  <c r="E22" i="18"/>
  <c r="E18" i="18"/>
  <c r="E14" i="18"/>
  <c r="O20" i="18"/>
  <c r="O16" i="18"/>
  <c r="S11" i="18"/>
  <c r="P11" i="18"/>
  <c r="O13" i="18"/>
  <c r="M40" i="14"/>
  <c r="E9" i="18" s="1"/>
  <c r="K42" i="19"/>
  <c r="V38" i="19"/>
  <c r="K38" i="19"/>
  <c r="L38" i="19" s="1"/>
  <c r="H38" i="19"/>
  <c r="T38" i="19" s="1"/>
  <c r="U38" i="19" s="1"/>
  <c r="H37" i="19"/>
  <c r="V36" i="19"/>
  <c r="K36" i="19"/>
  <c r="L36" i="19" s="1"/>
  <c r="H36" i="19"/>
  <c r="T36" i="19" s="1"/>
  <c r="U36" i="19" s="1"/>
  <c r="V33" i="19"/>
  <c r="K33" i="19"/>
  <c r="L33" i="19" s="1"/>
  <c r="H33" i="19"/>
  <c r="T33" i="19" s="1"/>
  <c r="U33" i="19" s="1"/>
  <c r="V29" i="19"/>
  <c r="K29" i="19"/>
  <c r="L29" i="19" s="1"/>
  <c r="H29" i="19"/>
  <c r="T29" i="19" s="1"/>
  <c r="U29" i="19" s="1"/>
  <c r="V25" i="19"/>
  <c r="K25" i="19"/>
  <c r="H25" i="19"/>
  <c r="V22" i="19"/>
  <c r="K22" i="19"/>
  <c r="L22" i="19" s="1"/>
  <c r="P22" i="19" s="1"/>
  <c r="H22" i="19"/>
  <c r="V16" i="19"/>
  <c r="K16" i="19"/>
  <c r="H16" i="19"/>
  <c r="V9" i="19"/>
  <c r="K9" i="19"/>
  <c r="H9" i="19"/>
  <c r="L42" i="19"/>
  <c r="T24" i="17"/>
  <c r="R39" i="17"/>
  <c r="O40" i="17"/>
  <c r="O39" i="17"/>
  <c r="O38" i="17"/>
  <c r="E37" i="17"/>
  <c r="E35" i="17"/>
  <c r="M35" i="14"/>
  <c r="E32" i="17"/>
  <c r="O30" i="17"/>
  <c r="O26" i="17"/>
  <c r="O27" i="17" s="1"/>
  <c r="T22" i="19" l="1"/>
  <c r="U22" i="19" s="1"/>
  <c r="T18" i="20"/>
  <c r="U18" i="20" s="1"/>
  <c r="L25" i="19"/>
  <c r="P25" i="19" s="1"/>
  <c r="S25" i="19"/>
  <c r="T25" i="19" s="1"/>
  <c r="U25" i="19" s="1"/>
  <c r="L16" i="19"/>
  <c r="P16" i="19" s="1"/>
  <c r="S16" i="19"/>
  <c r="L9" i="19"/>
  <c r="P9" i="19" s="1"/>
  <c r="P42" i="19" s="1"/>
  <c r="S9" i="19"/>
  <c r="T42" i="20"/>
  <c r="T43" i="20" s="1"/>
  <c r="G9" i="25" s="1"/>
  <c r="H9" i="25" s="1"/>
  <c r="H42" i="19"/>
  <c r="R22" i="17"/>
  <c r="O22" i="17"/>
  <c r="O18" i="17"/>
  <c r="O15" i="17"/>
  <c r="O21" i="17" s="1"/>
  <c r="O14" i="17"/>
  <c r="O20" i="17" s="1"/>
  <c r="O23" i="17" s="1"/>
  <c r="O11" i="17"/>
  <c r="O10" i="17"/>
  <c r="O9" i="17"/>
  <c r="E20" i="17"/>
  <c r="K20" i="17" s="1"/>
  <c r="L20" i="17" s="1"/>
  <c r="P20" i="17" s="1"/>
  <c r="E9" i="17"/>
  <c r="K9" i="17" s="1"/>
  <c r="E14" i="17"/>
  <c r="K14" i="17" s="1"/>
  <c r="L14" i="17" s="1"/>
  <c r="E18" i="17"/>
  <c r="K18" i="17" s="1"/>
  <c r="L18" i="17" s="1"/>
  <c r="P18" i="17" s="1"/>
  <c r="R12" i="17"/>
  <c r="S42" i="18"/>
  <c r="V36" i="18"/>
  <c r="K36" i="18"/>
  <c r="L36" i="18" s="1"/>
  <c r="P36" i="18" s="1"/>
  <c r="T36" i="18" s="1"/>
  <c r="U36" i="18" s="1"/>
  <c r="H36" i="18"/>
  <c r="V34" i="18"/>
  <c r="K34" i="18"/>
  <c r="L34" i="18" s="1"/>
  <c r="P34" i="18" s="1"/>
  <c r="H34" i="18"/>
  <c r="V32" i="18"/>
  <c r="T32" i="18"/>
  <c r="U32" i="18" s="1"/>
  <c r="K32" i="18"/>
  <c r="L32" i="18" s="1"/>
  <c r="H32" i="18"/>
  <c r="V30" i="18"/>
  <c r="K30" i="18"/>
  <c r="L30" i="18" s="1"/>
  <c r="P30" i="18" s="1"/>
  <c r="H30" i="18"/>
  <c r="V26" i="18"/>
  <c r="K26" i="18"/>
  <c r="L26" i="18" s="1"/>
  <c r="P26" i="18" s="1"/>
  <c r="H26" i="18"/>
  <c r="V22" i="18"/>
  <c r="K22" i="18"/>
  <c r="L22" i="18" s="1"/>
  <c r="P22" i="18" s="1"/>
  <c r="H22" i="18"/>
  <c r="T22" i="18" s="1"/>
  <c r="U22" i="18" s="1"/>
  <c r="V18" i="18"/>
  <c r="K18" i="18"/>
  <c r="L18" i="18" s="1"/>
  <c r="P18" i="18" s="1"/>
  <c r="H18" i="18"/>
  <c r="V14" i="18"/>
  <c r="K14" i="18"/>
  <c r="L14" i="18" s="1"/>
  <c r="P14" i="18" s="1"/>
  <c r="H14" i="18"/>
  <c r="V11" i="18"/>
  <c r="K11" i="18"/>
  <c r="L11" i="18" s="1"/>
  <c r="H11" i="18"/>
  <c r="T11" i="18" s="1"/>
  <c r="U11" i="18" s="1"/>
  <c r="V9" i="18"/>
  <c r="K9" i="18"/>
  <c r="L9" i="18" s="1"/>
  <c r="P9" i="18" s="1"/>
  <c r="H9" i="18"/>
  <c r="T9" i="18" s="1"/>
  <c r="U9" i="18" s="1"/>
  <c r="H43" i="17"/>
  <c r="H42" i="17"/>
  <c r="H40" i="17"/>
  <c r="H39" i="17"/>
  <c r="H38" i="17"/>
  <c r="V37" i="17"/>
  <c r="K37" i="17"/>
  <c r="H37" i="17"/>
  <c r="V35" i="17"/>
  <c r="K35" i="17"/>
  <c r="L35" i="17" s="1"/>
  <c r="P35" i="17" s="1"/>
  <c r="H35" i="17"/>
  <c r="H34" i="17"/>
  <c r="H33" i="17"/>
  <c r="V32" i="17"/>
  <c r="K32" i="17"/>
  <c r="L32" i="17" s="1"/>
  <c r="P32" i="17" s="1"/>
  <c r="H32" i="17"/>
  <c r="H31" i="17"/>
  <c r="H30" i="17"/>
  <c r="V29" i="17"/>
  <c r="H28" i="17"/>
  <c r="H27" i="17"/>
  <c r="H26" i="17"/>
  <c r="V25" i="17"/>
  <c r="H24" i="17"/>
  <c r="H23" i="17"/>
  <c r="H22" i="17"/>
  <c r="H21" i="17"/>
  <c r="V20" i="17"/>
  <c r="H19" i="17"/>
  <c r="V18" i="17"/>
  <c r="H17" i="17"/>
  <c r="H16" i="17"/>
  <c r="H15" i="17"/>
  <c r="V14" i="17"/>
  <c r="H13" i="17"/>
  <c r="H12" i="17"/>
  <c r="H11" i="17"/>
  <c r="H10" i="17"/>
  <c r="V9" i="17"/>
  <c r="H8" i="17"/>
  <c r="Q11" i="13"/>
  <c r="H20" i="17" l="1"/>
  <c r="T14" i="18"/>
  <c r="U14" i="18" s="1"/>
  <c r="L42" i="18"/>
  <c r="T18" i="18"/>
  <c r="U18" i="18" s="1"/>
  <c r="T34" i="18"/>
  <c r="U34" i="18" s="1"/>
  <c r="K42" i="18"/>
  <c r="P42" i="18"/>
  <c r="T26" i="18"/>
  <c r="U26" i="18" s="1"/>
  <c r="T30" i="18"/>
  <c r="U30" i="18" s="1"/>
  <c r="T16" i="19"/>
  <c r="U16" i="19" s="1"/>
  <c r="S42" i="19"/>
  <c r="T9" i="19"/>
  <c r="L37" i="17"/>
  <c r="P37" i="17" s="1"/>
  <c r="S37" i="17"/>
  <c r="T37" i="17" s="1"/>
  <c r="U37" i="17" s="1"/>
  <c r="H18" i="17"/>
  <c r="T18" i="17" s="1"/>
  <c r="U18" i="17" s="1"/>
  <c r="T32" i="17"/>
  <c r="U32" i="17" s="1"/>
  <c r="O12" i="17"/>
  <c r="L9" i="17"/>
  <c r="H14" i="17"/>
  <c r="H9" i="17"/>
  <c r="S20" i="17"/>
  <c r="T20" i="17" s="1"/>
  <c r="U20" i="17" s="1"/>
  <c r="T35" i="17"/>
  <c r="U35" i="17" s="1"/>
  <c r="O16" i="17"/>
  <c r="P14" i="17" s="1"/>
  <c r="S9" i="17"/>
  <c r="S14" i="17"/>
  <c r="H42" i="18"/>
  <c r="U9" i="19" l="1"/>
  <c r="T42" i="19"/>
  <c r="T43" i="19" s="1"/>
  <c r="G8" i="25" s="1"/>
  <c r="P9" i="17"/>
  <c r="T9" i="17" s="1"/>
  <c r="U9" i="17" s="1"/>
  <c r="T14" i="17"/>
  <c r="U14" i="17" s="1"/>
  <c r="H8" i="25" l="1"/>
  <c r="I20" i="9"/>
  <c r="M40" i="7"/>
  <c r="I40" i="7"/>
  <c r="M52" i="1" l="1"/>
  <c r="M38" i="14"/>
  <c r="M53" i="1" l="1"/>
  <c r="M23" i="12"/>
  <c r="M10" i="9"/>
  <c r="M17" i="9" s="1"/>
  <c r="E9" i="29" s="1"/>
  <c r="I10" i="9"/>
  <c r="I14" i="9"/>
  <c r="M20" i="9"/>
  <c r="I24" i="5"/>
  <c r="M19" i="5"/>
  <c r="M66" i="7"/>
  <c r="M64" i="7"/>
  <c r="M16" i="3"/>
  <c r="M15" i="3"/>
  <c r="M14" i="3"/>
  <c r="K9" i="29" l="1"/>
  <c r="H9" i="29"/>
  <c r="M53" i="3"/>
  <c r="M35" i="3"/>
  <c r="M41" i="14"/>
  <c r="M39" i="14"/>
  <c r="I23" i="1"/>
  <c r="M22" i="14"/>
  <c r="K22" i="14"/>
  <c r="I23" i="14"/>
  <c r="I22" i="14"/>
  <c r="M15" i="14"/>
  <c r="I18" i="14" s="1"/>
  <c r="M18" i="14" s="1"/>
  <c r="M8" i="14"/>
  <c r="L9" i="29" l="1"/>
  <c r="P9" i="29" s="1"/>
  <c r="S9" i="29"/>
  <c r="I33" i="9"/>
  <c r="I28" i="11"/>
  <c r="E14" i="28" s="1"/>
  <c r="I36" i="9"/>
  <c r="M36" i="9" s="1"/>
  <c r="M107" i="8"/>
  <c r="I107" i="8"/>
  <c r="E107" i="8"/>
  <c r="M101" i="8"/>
  <c r="M100" i="8"/>
  <c r="M99" i="8"/>
  <c r="I100" i="8"/>
  <c r="I26" i="11"/>
  <c r="M105" i="8"/>
  <c r="I105" i="8"/>
  <c r="E105" i="8"/>
  <c r="I101" i="8"/>
  <c r="M51" i="7"/>
  <c r="H29" i="7"/>
  <c r="G29" i="7"/>
  <c r="M96" i="8"/>
  <c r="I32" i="9"/>
  <c r="I31" i="9"/>
  <c r="M9" i="13"/>
  <c r="M10" i="13"/>
  <c r="M8" i="13"/>
  <c r="K14" i="28" l="1"/>
  <c r="L14" i="28" s="1"/>
  <c r="P14" i="28" s="1"/>
  <c r="H14" i="28"/>
  <c r="I34" i="9"/>
  <c r="M34" i="9" s="1"/>
  <c r="S42" i="29"/>
  <c r="T9" i="29"/>
  <c r="I64" i="7"/>
  <c r="I16" i="11"/>
  <c r="I19" i="11" s="1"/>
  <c r="E12" i="28"/>
  <c r="E9" i="32" l="1"/>
  <c r="E10" i="28"/>
  <c r="T14" i="28"/>
  <c r="U14" i="28" s="1"/>
  <c r="K12" i="28"/>
  <c r="H12" i="28"/>
  <c r="U9" i="29"/>
  <c r="I13" i="11"/>
  <c r="E20" i="27" s="1"/>
  <c r="I11" i="11"/>
  <c r="E15" i="27" s="1"/>
  <c r="I9" i="11"/>
  <c r="E10" i="27" s="1"/>
  <c r="K15" i="27" l="1"/>
  <c r="L15" i="27" s="1"/>
  <c r="P15" i="27" s="1"/>
  <c r="T15" i="27" s="1"/>
  <c r="U15" i="27" s="1"/>
  <c r="H15" i="27"/>
  <c r="H10" i="28"/>
  <c r="K10" i="28"/>
  <c r="L10" i="28" s="1"/>
  <c r="P10" i="28" s="1"/>
  <c r="T10" i="28" s="1"/>
  <c r="U10" i="28" s="1"/>
  <c r="H20" i="27"/>
  <c r="K20" i="27"/>
  <c r="L20" i="27" s="1"/>
  <c r="P20" i="27" s="1"/>
  <c r="T20" i="27" s="1"/>
  <c r="U20" i="27" s="1"/>
  <c r="K10" i="27"/>
  <c r="H10" i="27"/>
  <c r="H42" i="27" s="1"/>
  <c r="K9" i="32"/>
  <c r="H9" i="32"/>
  <c r="H42" i="32" s="1"/>
  <c r="L12" i="28"/>
  <c r="K42" i="28"/>
  <c r="E28" i="25"/>
  <c r="E30" i="25" s="1"/>
  <c r="H42" i="28"/>
  <c r="M12" i="10"/>
  <c r="M11" i="10"/>
  <c r="M10" i="10"/>
  <c r="M9" i="10"/>
  <c r="M8" i="10"/>
  <c r="I12" i="10"/>
  <c r="L10" i="27" l="1"/>
  <c r="K42" i="27"/>
  <c r="L9" i="32"/>
  <c r="K42" i="32"/>
  <c r="P12" i="28"/>
  <c r="L42" i="28"/>
  <c r="H30" i="25"/>
  <c r="D28" i="25"/>
  <c r="D29" i="25" s="1"/>
  <c r="I22" i="9"/>
  <c r="M22" i="9" s="1"/>
  <c r="I26" i="9"/>
  <c r="I28" i="9" s="1"/>
  <c r="M28" i="9" s="1"/>
  <c r="E21" i="29" s="1"/>
  <c r="I21" i="9"/>
  <c r="M21" i="9" s="1"/>
  <c r="P9" i="32" l="1"/>
  <c r="L42" i="32"/>
  <c r="L42" i="27"/>
  <c r="P10" i="27"/>
  <c r="P42" i="28"/>
  <c r="T12" i="28"/>
  <c r="E32" i="25"/>
  <c r="H29" i="25"/>
  <c r="K21" i="29"/>
  <c r="L21" i="29" s="1"/>
  <c r="P21" i="29" s="1"/>
  <c r="H21" i="29"/>
  <c r="T21" i="29" s="1"/>
  <c r="U21" i="29" s="1"/>
  <c r="E13" i="9"/>
  <c r="I13" i="9" s="1"/>
  <c r="I15" i="9" s="1"/>
  <c r="M15" i="9" s="1"/>
  <c r="E19" i="29" s="1"/>
  <c r="T10" i="27" l="1"/>
  <c r="P42" i="27"/>
  <c r="P42" i="32"/>
  <c r="T9" i="32"/>
  <c r="T42" i="28"/>
  <c r="T44" i="28" s="1"/>
  <c r="H17" i="25" s="1"/>
  <c r="G17" i="25" s="1"/>
  <c r="U12" i="28"/>
  <c r="D32" i="25"/>
  <c r="K19" i="29"/>
  <c r="L19" i="29" s="1"/>
  <c r="P19" i="29" s="1"/>
  <c r="P42" i="29" s="1"/>
  <c r="H19" i="29"/>
  <c r="I91" i="8"/>
  <c r="M63" i="8"/>
  <c r="M61" i="8"/>
  <c r="I63" i="8"/>
  <c r="I89" i="8"/>
  <c r="M89" i="8" s="1"/>
  <c r="I86" i="8"/>
  <c r="I85" i="8"/>
  <c r="I88" i="8"/>
  <c r="I87" i="8"/>
  <c r="E87" i="8"/>
  <c r="E86" i="8"/>
  <c r="E85" i="8"/>
  <c r="I81" i="8"/>
  <c r="I80" i="8"/>
  <c r="I82" i="8" s="1"/>
  <c r="M82" i="8" s="1"/>
  <c r="I79" i="8"/>
  <c r="M76" i="8"/>
  <c r="K76" i="8"/>
  <c r="K73" i="8"/>
  <c r="I73" i="8"/>
  <c r="K70" i="8"/>
  <c r="K71" i="8"/>
  <c r="K68" i="8"/>
  <c r="I69" i="8"/>
  <c r="K69" i="8" s="1"/>
  <c r="I70" i="8"/>
  <c r="I71" i="8"/>
  <c r="I72" i="8"/>
  <c r="K72" i="8" s="1"/>
  <c r="I68" i="8"/>
  <c r="U9" i="32" l="1"/>
  <c r="T42" i="32"/>
  <c r="T43" i="32" s="1"/>
  <c r="G16" i="25" s="1"/>
  <c r="H16" i="25" s="1"/>
  <c r="U10" i="27"/>
  <c r="T42" i="27"/>
  <c r="T43" i="27" s="1"/>
  <c r="G15" i="25" s="1"/>
  <c r="H15" i="25" s="1"/>
  <c r="T19" i="29"/>
  <c r="H42" i="29"/>
  <c r="M59" i="8"/>
  <c r="M57" i="8"/>
  <c r="M51" i="8"/>
  <c r="K57" i="8"/>
  <c r="K56" i="8"/>
  <c r="K55" i="8"/>
  <c r="K54" i="8"/>
  <c r="K51" i="8"/>
  <c r="K50" i="8"/>
  <c r="K49" i="8"/>
  <c r="K48" i="8"/>
  <c r="I57" i="8"/>
  <c r="I48" i="8"/>
  <c r="I49" i="8"/>
  <c r="I50" i="8"/>
  <c r="I51" i="8"/>
  <c r="I54" i="8"/>
  <c r="I55" i="8"/>
  <c r="I56" i="8"/>
  <c r="K45" i="8"/>
  <c r="K43" i="8"/>
  <c r="K39" i="8"/>
  <c r="K37" i="8"/>
  <c r="K33" i="8"/>
  <c r="K31" i="8"/>
  <c r="I30" i="8"/>
  <c r="K30" i="8" s="1"/>
  <c r="I31" i="8"/>
  <c r="I32" i="8"/>
  <c r="K32" i="8" s="1"/>
  <c r="I33" i="8"/>
  <c r="I36" i="8"/>
  <c r="K36" i="8" s="1"/>
  <c r="I37" i="8"/>
  <c r="I38" i="8"/>
  <c r="K38" i="8" s="1"/>
  <c r="I39" i="8"/>
  <c r="I42" i="8"/>
  <c r="K42" i="8" s="1"/>
  <c r="I43" i="8"/>
  <c r="I44" i="8"/>
  <c r="K44" i="8" s="1"/>
  <c r="I45" i="8"/>
  <c r="I25" i="8"/>
  <c r="K25" i="8" s="1"/>
  <c r="I26" i="8"/>
  <c r="K26" i="8" s="1"/>
  <c r="I27" i="8"/>
  <c r="K27" i="8" s="1"/>
  <c r="I20" i="8"/>
  <c r="K20" i="8" s="1"/>
  <c r="I21" i="8"/>
  <c r="K21" i="8" s="1"/>
  <c r="I22" i="8"/>
  <c r="K22" i="8" s="1"/>
  <c r="I15" i="8"/>
  <c r="K15" i="8" s="1"/>
  <c r="I16" i="8"/>
  <c r="K16" i="8" s="1"/>
  <c r="I17" i="8"/>
  <c r="K17" i="8" s="1"/>
  <c r="K11" i="8"/>
  <c r="K10" i="8"/>
  <c r="I11" i="8"/>
  <c r="I12" i="8"/>
  <c r="K12" i="8" s="1"/>
  <c r="M12" i="8" s="1"/>
  <c r="I10" i="8"/>
  <c r="U19" i="29" l="1"/>
  <c r="T42" i="29"/>
  <c r="T43" i="29" s="1"/>
  <c r="H12" i="25" s="1"/>
  <c r="G12" i="25" s="1"/>
  <c r="M45" i="8"/>
  <c r="M39" i="8"/>
  <c r="M33" i="8"/>
  <c r="M27" i="8"/>
  <c r="M17" i="8"/>
  <c r="M22" i="8"/>
  <c r="M60" i="7"/>
  <c r="I60" i="7"/>
  <c r="M48" i="7"/>
  <c r="I48" i="7"/>
  <c r="I47" i="7"/>
  <c r="I46" i="7"/>
  <c r="I45" i="7"/>
  <c r="I44" i="7"/>
  <c r="K58" i="7"/>
  <c r="M38" i="7"/>
  <c r="I38" i="7"/>
  <c r="M36" i="7"/>
  <c r="I36" i="7"/>
  <c r="I33" i="7"/>
  <c r="I34" i="7"/>
  <c r="I35" i="7"/>
  <c r="I32" i="7"/>
  <c r="H35" i="7"/>
  <c r="H34" i="7"/>
  <c r="H33" i="7"/>
  <c r="H32" i="7"/>
  <c r="I12" i="7"/>
  <c r="M12" i="7" s="1"/>
  <c r="I13" i="7"/>
  <c r="M13" i="7" s="1"/>
  <c r="I14" i="7"/>
  <c r="M20" i="7"/>
  <c r="I20" i="7"/>
  <c r="I18" i="7"/>
  <c r="I19" i="7"/>
  <c r="I17" i="7"/>
  <c r="M14" i="7"/>
  <c r="M29" i="7"/>
  <c r="I29" i="7"/>
  <c r="I23" i="7"/>
  <c r="I24" i="7"/>
  <c r="I25" i="7"/>
  <c r="I26" i="7"/>
  <c r="I27" i="7"/>
  <c r="I28" i="7"/>
  <c r="I22" i="7"/>
  <c r="M9" i="7" l="1"/>
  <c r="M8" i="7"/>
  <c r="I28" i="5" l="1"/>
  <c r="I27" i="5"/>
  <c r="K28" i="5" s="1"/>
  <c r="M29" i="5" s="1"/>
  <c r="K18" i="5"/>
  <c r="I18" i="5" l="1"/>
  <c r="I17" i="5"/>
  <c r="I16" i="5"/>
  <c r="M12" i="5" l="1"/>
  <c r="K11" i="5"/>
  <c r="I52" i="3" l="1"/>
  <c r="I53" i="3" s="1"/>
  <c r="I51" i="3"/>
  <c r="I39" i="3"/>
  <c r="I40" i="3"/>
  <c r="I41" i="3"/>
  <c r="I42" i="3"/>
  <c r="I43" i="3"/>
  <c r="I44" i="3"/>
  <c r="I45" i="3"/>
  <c r="I48" i="3" s="1"/>
  <c r="M48" i="3" s="1"/>
  <c r="I46" i="3"/>
  <c r="I47" i="3"/>
  <c r="I38" i="3"/>
  <c r="I35" i="3"/>
  <c r="I32" i="3"/>
  <c r="I33" i="3"/>
  <c r="I34" i="3"/>
  <c r="I31" i="3"/>
  <c r="I30" i="3"/>
  <c r="I29" i="3"/>
  <c r="E25" i="3"/>
  <c r="I25" i="3" s="1"/>
  <c r="E24" i="3"/>
  <c r="I24" i="3" s="1"/>
  <c r="E23" i="3"/>
  <c r="I23" i="3" s="1"/>
  <c r="E22" i="3"/>
  <c r="I22" i="3" s="1"/>
  <c r="E21" i="3"/>
  <c r="I21" i="3" s="1"/>
  <c r="E20" i="3"/>
  <c r="I20" i="3" s="1"/>
  <c r="E19" i="3"/>
  <c r="I19" i="3" s="1"/>
  <c r="I26" i="3" l="1"/>
  <c r="M26" i="3" s="1"/>
  <c r="M57" i="3" s="1"/>
  <c r="K49" i="1"/>
  <c r="M49" i="1" s="1"/>
  <c r="M43" i="1"/>
  <c r="I40" i="1"/>
  <c r="M40" i="1" s="1"/>
  <c r="I41" i="1"/>
  <c r="M41" i="1" s="1"/>
  <c r="I42" i="1"/>
  <c r="M42" i="1" s="1"/>
  <c r="I43" i="1"/>
  <c r="I44" i="1"/>
  <c r="M44" i="1" s="1"/>
  <c r="I39" i="1"/>
  <c r="M39" i="1" s="1"/>
  <c r="K28" i="1"/>
  <c r="M28" i="1" s="1"/>
  <c r="F35" i="1"/>
  <c r="G35" i="1"/>
  <c r="G34" i="1"/>
  <c r="F34" i="1"/>
  <c r="F33" i="1"/>
  <c r="K33" i="1" s="1"/>
  <c r="M33" i="1" s="1"/>
  <c r="F32" i="1"/>
  <c r="K32" i="1" s="1"/>
  <c r="M32" i="1" s="1"/>
  <c r="F31" i="1"/>
  <c r="K31" i="1" s="1"/>
  <c r="M31" i="1" s="1"/>
  <c r="F30" i="1"/>
  <c r="K30" i="1" s="1"/>
  <c r="M30" i="1" s="1"/>
  <c r="F29" i="1"/>
  <c r="K29" i="1" s="1"/>
  <c r="M29" i="1" s="1"/>
  <c r="F27" i="1"/>
  <c r="K27" i="1" s="1"/>
  <c r="M27" i="1" s="1"/>
  <c r="F26" i="1"/>
  <c r="K26" i="1" s="1"/>
  <c r="M26" i="1" s="1"/>
  <c r="G17" i="1"/>
  <c r="K17" i="1" s="1"/>
  <c r="M17" i="1" s="1"/>
  <c r="G18" i="1"/>
  <c r="K18" i="1" s="1"/>
  <c r="M18" i="1" s="1"/>
  <c r="G19" i="1"/>
  <c r="K19" i="1" s="1"/>
  <c r="M19" i="1" s="1"/>
  <c r="G20" i="1"/>
  <c r="K20" i="1" s="1"/>
  <c r="M20" i="1" s="1"/>
  <c r="G21" i="1"/>
  <c r="K21" i="1" s="1"/>
  <c r="M21" i="1" s="1"/>
  <c r="G22" i="1"/>
  <c r="K22" i="1" s="1"/>
  <c r="M22" i="1" s="1"/>
  <c r="G16" i="1"/>
  <c r="K16" i="1" s="1"/>
  <c r="M16" i="1" s="1"/>
  <c r="K35" i="1" l="1"/>
  <c r="M35" i="1" s="1"/>
  <c r="K34" i="1"/>
  <c r="M34" i="1" s="1"/>
  <c r="M23" i="1"/>
  <c r="I27" i="14" s="1"/>
  <c r="M36" i="1"/>
  <c r="I28" i="14" s="1"/>
  <c r="M45" i="1"/>
  <c r="I29" i="14" l="1"/>
  <c r="I30" i="14"/>
  <c r="K48" i="1"/>
  <c r="M48" i="1" s="1"/>
  <c r="M50" i="1" s="1"/>
  <c r="K11" i="1"/>
  <c r="M11" i="1" s="1"/>
  <c r="K10" i="1"/>
  <c r="M10" i="1" s="1"/>
  <c r="K9" i="1"/>
  <c r="M9" i="1" s="1"/>
  <c r="K8" i="1"/>
  <c r="M8" i="1" l="1"/>
  <c r="I33" i="14"/>
  <c r="M33" i="14" s="1"/>
  <c r="E29" i="17" s="1"/>
  <c r="M30" i="14"/>
  <c r="E25" i="17" s="1"/>
  <c r="M12" i="1"/>
  <c r="M55" i="1" s="1"/>
  <c r="K25" i="17" l="1"/>
  <c r="H25" i="17"/>
  <c r="H44" i="17" s="1"/>
  <c r="H29" i="17"/>
  <c r="K29" i="17"/>
  <c r="L29" i="17" s="1"/>
  <c r="P29" i="17" s="1"/>
  <c r="M56" i="1"/>
  <c r="M57" i="1" s="1"/>
  <c r="T29" i="17" l="1"/>
  <c r="U29" i="17" s="1"/>
  <c r="S25" i="17"/>
  <c r="L25" i="17"/>
  <c r="P25" i="17" s="1"/>
  <c r="P44" i="17" s="1"/>
  <c r="T25" i="17" l="1"/>
  <c r="S44" i="17"/>
  <c r="U25" i="17" l="1"/>
  <c r="T44" i="17"/>
  <c r="T45" i="17" l="1"/>
  <c r="G7" i="25" s="1"/>
  <c r="T42" i="18"/>
  <c r="H7" i="25" l="1"/>
  <c r="G28" i="25"/>
  <c r="H28" i="25" l="1"/>
  <c r="G31" i="25"/>
  <c r="H31" i="25" s="1"/>
  <c r="G32" i="25" l="1"/>
  <c r="H32" i="25" s="1"/>
  <c r="M29" i="25" s="1"/>
  <c r="M32" i="25" s="1"/>
  <c r="M34" i="25" s="1"/>
  <c r="H39" i="25" s="1"/>
  <c r="H34" i="25" l="1"/>
  <c r="H33" i="25"/>
  <c r="H35" i="25"/>
  <c r="H36" i="25"/>
  <c r="H37" i="25"/>
  <c r="H38" i="25" l="1"/>
</calcChain>
</file>

<file path=xl/sharedStrings.xml><?xml version="1.0" encoding="utf-8"?>
<sst xmlns="http://schemas.openxmlformats.org/spreadsheetml/2006/main" count="2907" uniqueCount="812">
  <si>
    <t>Quantity Sheet</t>
  </si>
  <si>
    <t>Description: Concrete</t>
  </si>
  <si>
    <t>Plan</t>
  </si>
  <si>
    <t>Dimensions</t>
  </si>
  <si>
    <t>TO</t>
  </si>
  <si>
    <t>Description</t>
  </si>
  <si>
    <t>Ref</t>
  </si>
  <si>
    <t>Length</t>
  </si>
  <si>
    <t>Width</t>
  </si>
  <si>
    <t>Height</t>
  </si>
  <si>
    <t>Qty</t>
  </si>
  <si>
    <t>Extension</t>
  </si>
  <si>
    <t>Unit</t>
  </si>
  <si>
    <t>Subtotal</t>
  </si>
  <si>
    <t>Total</t>
  </si>
  <si>
    <t xml:space="preserve">P </t>
  </si>
  <si>
    <t>CY</t>
  </si>
  <si>
    <t>Project:    Joe's Crab Shack</t>
  </si>
  <si>
    <t>Architect: GPD Group</t>
  </si>
  <si>
    <t>T.O. by: Hunter Himes</t>
  </si>
  <si>
    <t xml:space="preserve">Date:  </t>
  </si>
  <si>
    <t xml:space="preserve">Sheet No.  </t>
  </si>
  <si>
    <t xml:space="preserve">Page No:  </t>
  </si>
  <si>
    <t>Description:</t>
  </si>
  <si>
    <t>Footing Turndown</t>
  </si>
  <si>
    <t>Stem Walls</t>
  </si>
  <si>
    <t>1/S501</t>
  </si>
  <si>
    <t>2/S501</t>
  </si>
  <si>
    <t>3/S501</t>
  </si>
  <si>
    <t>5/S501</t>
  </si>
  <si>
    <t>6/S501</t>
  </si>
  <si>
    <t>8/S501</t>
  </si>
  <si>
    <t>9/S501</t>
  </si>
  <si>
    <t>F4.0</t>
  </si>
  <si>
    <t>F6.0</t>
  </si>
  <si>
    <t>F6.6</t>
  </si>
  <si>
    <t>F8.0</t>
  </si>
  <si>
    <t>F10.6</t>
  </si>
  <si>
    <t>F11.7</t>
  </si>
  <si>
    <t>Waste</t>
  </si>
  <si>
    <t>Notes</t>
  </si>
  <si>
    <t>Slab On Grade</t>
  </si>
  <si>
    <t>SF</t>
  </si>
  <si>
    <t xml:space="preserve">5.5" Concrete pad </t>
  </si>
  <si>
    <t>Concrete Stairs</t>
  </si>
  <si>
    <t>LF</t>
  </si>
  <si>
    <t>Granular Fill</t>
  </si>
  <si>
    <t>Continuous Footings</t>
  </si>
  <si>
    <t>Ftg. WF 2.0</t>
  </si>
  <si>
    <t>Ftg. WF 4.0</t>
  </si>
  <si>
    <t>Ftg. WF 4.9</t>
  </si>
  <si>
    <t>Ftg. WF 5.5</t>
  </si>
  <si>
    <t>Ftg. WF 7.0</t>
  </si>
  <si>
    <t>Ftg. WF 9.0</t>
  </si>
  <si>
    <t>Ftg. WF 10.0</t>
  </si>
  <si>
    <t>4/S501</t>
  </si>
  <si>
    <t>7/S501</t>
  </si>
  <si>
    <t>16/S501</t>
  </si>
  <si>
    <t>6" Granular Base (SOG)</t>
  </si>
  <si>
    <t>Spread/Column Footings</t>
  </si>
  <si>
    <t>Fill @ footing Stem Walls</t>
  </si>
  <si>
    <t>Welded Wire Fabric</t>
  </si>
  <si>
    <t>S/501</t>
  </si>
  <si>
    <t>2" from top of slab</t>
  </si>
  <si>
    <t>Concrete Finishes</t>
  </si>
  <si>
    <t>Smooth-Formed</t>
  </si>
  <si>
    <t>Troweled Finish</t>
  </si>
  <si>
    <t>Trowel and Fine Broom</t>
  </si>
  <si>
    <t>Kitchen, Bar, Bathrooms</t>
  </si>
  <si>
    <t>Dining, Entry</t>
  </si>
  <si>
    <t>Patio, Trash area</t>
  </si>
  <si>
    <t>Slab Joints</t>
  </si>
  <si>
    <t xml:space="preserve">Control </t>
  </si>
  <si>
    <t>Vertical every 10 feet (12 joints)</t>
  </si>
  <si>
    <t>Horizontal every 10' 10" (8 joints)</t>
  </si>
  <si>
    <t>Isolated (columns)</t>
  </si>
  <si>
    <t>every columns= 2.67 lf</t>
  </si>
  <si>
    <t>Continuous Footing Rebar</t>
  </si>
  <si>
    <t>Spread Footing Rebar</t>
  </si>
  <si>
    <t>lbs</t>
  </si>
  <si>
    <t>Stem Wall Dowels</t>
  </si>
  <si>
    <t>#5 at 12 oc</t>
  </si>
  <si>
    <t>#5 at 12 o.c.</t>
  </si>
  <si>
    <t>#4  @ 12 o.c.</t>
  </si>
  <si>
    <t>A/101</t>
  </si>
  <si>
    <t>S/101</t>
  </si>
  <si>
    <t>Total Concrete</t>
  </si>
  <si>
    <t xml:space="preserve">Total </t>
  </si>
  <si>
    <t>Brick</t>
  </si>
  <si>
    <t>Front and Right elevation</t>
  </si>
  <si>
    <t>Back and left elevation</t>
  </si>
  <si>
    <t>Ledger Bricks</t>
  </si>
  <si>
    <t>A/201</t>
  </si>
  <si>
    <t>A/202</t>
  </si>
  <si>
    <t>Mock-up</t>
  </si>
  <si>
    <t>side rods</t>
  </si>
  <si>
    <t>cross rods</t>
  </si>
  <si>
    <t>flashing</t>
  </si>
  <si>
    <t>metal expansion joint strips</t>
  </si>
  <si>
    <t>cleaning</t>
  </si>
  <si>
    <t>control and expansion joints</t>
  </si>
  <si>
    <t>lintels</t>
  </si>
  <si>
    <t>There is Brick behind the menu sign on the front elevation</t>
  </si>
  <si>
    <t xml:space="preserve">All cast stone is the same product and color </t>
  </si>
  <si>
    <t>Cast Stone</t>
  </si>
  <si>
    <t>Caulk the top of all interior curbs</t>
  </si>
  <si>
    <t>Misc.</t>
  </si>
  <si>
    <t>Total Brick</t>
  </si>
  <si>
    <t>M</t>
  </si>
  <si>
    <t>X6.75</t>
  </si>
  <si>
    <t>grout</t>
  </si>
  <si>
    <t>wall ties</t>
  </si>
  <si>
    <t>CMU Block</t>
  </si>
  <si>
    <t>4x8x16 front patio</t>
  </si>
  <si>
    <t>4x8x16 bathroom</t>
  </si>
  <si>
    <t>wall tie 16" oc</t>
  </si>
  <si>
    <t>8x8x16 Trash</t>
  </si>
  <si>
    <t>7/8 hat channel</t>
  </si>
  <si>
    <t>Mortar</t>
  </si>
  <si>
    <t>Block</t>
  </si>
  <si>
    <t>Grout</t>
  </si>
  <si>
    <t>Edge of Slab (4' avg.)</t>
  </si>
  <si>
    <t>Columns</t>
  </si>
  <si>
    <t>/27</t>
  </si>
  <si>
    <t>Handrail</t>
  </si>
  <si>
    <t>Handrail Assembly</t>
  </si>
  <si>
    <t>1 1/2" handrail</t>
  </si>
  <si>
    <t>Anchor Bolts</t>
  </si>
  <si>
    <t>1 1/4" Anchor Bolts</t>
  </si>
  <si>
    <t>1" Anchor Bolts</t>
  </si>
  <si>
    <t>3/4" Anchor Bolts</t>
  </si>
  <si>
    <t>EA</t>
  </si>
  <si>
    <t>Base Plates</t>
  </si>
  <si>
    <t>BP2- 16"x16"x1 1/4"</t>
  </si>
  <si>
    <t>C2, C3</t>
  </si>
  <si>
    <t>C7</t>
  </si>
  <si>
    <t>C1, C4, C5, C6- 4 for each column</t>
  </si>
  <si>
    <t>C-2</t>
  </si>
  <si>
    <t>C-3</t>
  </si>
  <si>
    <t>C-4</t>
  </si>
  <si>
    <t>C-5</t>
  </si>
  <si>
    <t>C-6</t>
  </si>
  <si>
    <t>C-7</t>
  </si>
  <si>
    <t>Wall section A on A-311 is a C6 column</t>
  </si>
  <si>
    <t>Section B on A-311 is a type C4 Column</t>
  </si>
  <si>
    <t>Section C on A-311 is a type C5 column</t>
  </si>
  <si>
    <t>perimeter of building</t>
  </si>
  <si>
    <t>BP1- 14"x14"x1"</t>
  </si>
  <si>
    <t>BP3- 10"x12"x1 1/4"</t>
  </si>
  <si>
    <t>Cap Plate</t>
  </si>
  <si>
    <t>CP1</t>
  </si>
  <si>
    <t>CP2</t>
  </si>
  <si>
    <t>CP3</t>
  </si>
  <si>
    <t>CP4</t>
  </si>
  <si>
    <t>C5, C6</t>
  </si>
  <si>
    <t>C4</t>
  </si>
  <si>
    <t>C1</t>
  </si>
  <si>
    <t xml:space="preserve">C-1 </t>
  </si>
  <si>
    <t>Bent Plate @ C-7</t>
  </si>
  <si>
    <t>1/S-511</t>
  </si>
  <si>
    <t>Simpson DTC clip</t>
  </si>
  <si>
    <t>24" oc</t>
  </si>
  <si>
    <t>G/A-315</t>
  </si>
  <si>
    <t>/2</t>
  </si>
  <si>
    <t>3 5/8" 25 gauge metal stud</t>
  </si>
  <si>
    <t xml:space="preserve">RC-1 Channel </t>
  </si>
  <si>
    <t>24" oc, mounted horizontal</t>
  </si>
  <si>
    <t>Structural Steel</t>
  </si>
  <si>
    <t>W12x30</t>
  </si>
  <si>
    <t>W16x40</t>
  </si>
  <si>
    <t>W21x50</t>
  </si>
  <si>
    <t>TS6x3x1/4"</t>
  </si>
  <si>
    <t>1/2" rod at canopy</t>
  </si>
  <si>
    <t>12/S-512</t>
  </si>
  <si>
    <t>A35 Angle</t>
  </si>
  <si>
    <t>S/512</t>
  </si>
  <si>
    <t>S/111</t>
  </si>
  <si>
    <t>Description: Steel</t>
  </si>
  <si>
    <t>Description: Wood</t>
  </si>
  <si>
    <t>Trusses</t>
  </si>
  <si>
    <t>T1</t>
  </si>
  <si>
    <t>T1-A</t>
  </si>
  <si>
    <t>T2</t>
  </si>
  <si>
    <t>T3</t>
  </si>
  <si>
    <t>T4</t>
  </si>
  <si>
    <t>T4-A</t>
  </si>
  <si>
    <t>T4-B</t>
  </si>
  <si>
    <t>T5</t>
  </si>
  <si>
    <t>All top and bottom cords on trusses are 2x6</t>
  </si>
  <si>
    <t>All middle supports on trusses are 2x4</t>
  </si>
  <si>
    <t>2x4</t>
  </si>
  <si>
    <t>2x8</t>
  </si>
  <si>
    <t>2x6</t>
  </si>
  <si>
    <t>T5-A</t>
  </si>
  <si>
    <t>1/S112</t>
  </si>
  <si>
    <t>lf</t>
  </si>
  <si>
    <t>BF</t>
  </si>
  <si>
    <t>2/S112</t>
  </si>
  <si>
    <t>3/S112</t>
  </si>
  <si>
    <t>4/S112</t>
  </si>
  <si>
    <t>5/S112</t>
  </si>
  <si>
    <t>2x10</t>
  </si>
  <si>
    <t>6/S112</t>
  </si>
  <si>
    <t>Total Roof Trusses</t>
  </si>
  <si>
    <t>Roof Sheathing 5/8" exterior</t>
  </si>
  <si>
    <t>1/2" wall sheathing</t>
  </si>
  <si>
    <t>2x10 wood studs are at 16" o.c.</t>
  </si>
  <si>
    <t>Headers</t>
  </si>
  <si>
    <t>H1 2x6</t>
  </si>
  <si>
    <t>H2 2x8</t>
  </si>
  <si>
    <t>H3 2x8</t>
  </si>
  <si>
    <t>H4 2x6</t>
  </si>
  <si>
    <t>H5 2x10</t>
  </si>
  <si>
    <t>H6 2x10</t>
  </si>
  <si>
    <t>Bearing Studs @ each end</t>
  </si>
  <si>
    <t>Full Height Studs @ each end</t>
  </si>
  <si>
    <t>Total Header</t>
  </si>
  <si>
    <t>Low Roof Framing</t>
  </si>
  <si>
    <t>2x6 blocking</t>
  </si>
  <si>
    <t>2x6 joists</t>
  </si>
  <si>
    <t>Wall Framing</t>
  </si>
  <si>
    <t>W1 2x10 @16 oc</t>
  </si>
  <si>
    <t>W2 2x8 @16 oc</t>
  </si>
  <si>
    <t>2x10 double top plate</t>
  </si>
  <si>
    <t>2x8 Double top plate</t>
  </si>
  <si>
    <t xml:space="preserve">Average wall framing height is 26' 8" </t>
  </si>
  <si>
    <t>Blocking</t>
  </si>
  <si>
    <t>2x6 roof curbs</t>
  </si>
  <si>
    <t>perimeter of roof</t>
  </si>
  <si>
    <t>Rigid Insulation 4"</t>
  </si>
  <si>
    <t>Single ply Membrane Roof</t>
  </si>
  <si>
    <t>Batt Insulation</t>
  </si>
  <si>
    <t>Batt Insulation goes entire length of all exterior walls</t>
  </si>
  <si>
    <t>R-19 Batt Insulation</t>
  </si>
  <si>
    <t>Canopy</t>
  </si>
  <si>
    <t>Wrap Membrane around entire exterior of building</t>
  </si>
  <si>
    <t>SF of brick</t>
  </si>
  <si>
    <t>Description: Insulation</t>
  </si>
  <si>
    <t>Metal Composite Panel</t>
  </si>
  <si>
    <t>Building Wrap</t>
  </si>
  <si>
    <t>Flashing</t>
  </si>
  <si>
    <t>exterior wall counter flashing</t>
  </si>
  <si>
    <t>2 rows around exterior</t>
  </si>
  <si>
    <t>Metal Drip Edge</t>
  </si>
  <si>
    <t>LF of counter flashing</t>
  </si>
  <si>
    <t xml:space="preserve">Flashing around all RTU's </t>
  </si>
  <si>
    <t>RTU flashing</t>
  </si>
  <si>
    <t>Cement Board</t>
  </si>
  <si>
    <t>Caulking</t>
  </si>
  <si>
    <t>Doors</t>
  </si>
  <si>
    <t>Windows</t>
  </si>
  <si>
    <t>Description: Doors and Windows</t>
  </si>
  <si>
    <t>Hollow Metal Frames</t>
  </si>
  <si>
    <t>notes 4,5,6</t>
  </si>
  <si>
    <t>A/601</t>
  </si>
  <si>
    <t>Hollow Metal Door</t>
  </si>
  <si>
    <t>Wood Door</t>
  </si>
  <si>
    <t>Eliason Doors</t>
  </si>
  <si>
    <t>Hardware</t>
  </si>
  <si>
    <t>Sets</t>
  </si>
  <si>
    <t>F1</t>
  </si>
  <si>
    <t>F2</t>
  </si>
  <si>
    <t>F3</t>
  </si>
  <si>
    <t>F4</t>
  </si>
  <si>
    <t>F5</t>
  </si>
  <si>
    <t>Marvin Wood Casement Window</t>
  </si>
  <si>
    <t>5'7" 7/8" x 6'</t>
  </si>
  <si>
    <t>6'4" x 6'</t>
  </si>
  <si>
    <t>5'7" 7/8" x 8'8"</t>
  </si>
  <si>
    <t>6'4" x 1'9" 1/2"</t>
  </si>
  <si>
    <t>5'4" x 1'9" 1/2"</t>
  </si>
  <si>
    <t>Flooring</t>
  </si>
  <si>
    <t>105,113-120, 122, 123, 124</t>
  </si>
  <si>
    <t>101-104,106-108,110</t>
  </si>
  <si>
    <t>6x24 Porcelain Wood Plank</t>
  </si>
  <si>
    <t>6x6 Quarry Tile</t>
  </si>
  <si>
    <t>18x18 porcelain concrete Tile</t>
  </si>
  <si>
    <t>Sealed Concrete</t>
  </si>
  <si>
    <t>Wall Tile</t>
  </si>
  <si>
    <t>Gypsum Board</t>
  </si>
  <si>
    <t>Paint</t>
  </si>
  <si>
    <t xml:space="preserve">gypsum board </t>
  </si>
  <si>
    <t>cement board</t>
  </si>
  <si>
    <t>2x2 lay in ceiling</t>
  </si>
  <si>
    <t>Wood Decking</t>
  </si>
  <si>
    <t>at patios, dining 1</t>
  </si>
  <si>
    <t>All T&amp;G wood ceiling is 1x6</t>
  </si>
  <si>
    <t>Corrugated metal ceiling</t>
  </si>
  <si>
    <t>Bathroom Accessories</t>
  </si>
  <si>
    <t>A/111</t>
  </si>
  <si>
    <t>kitchen</t>
  </si>
  <si>
    <t>soap dispenser</t>
  </si>
  <si>
    <t>paper towel dispenser</t>
  </si>
  <si>
    <t>mirror</t>
  </si>
  <si>
    <t>toilet paper dispenser</t>
  </si>
  <si>
    <t>grab bars</t>
  </si>
  <si>
    <t>door hook</t>
  </si>
  <si>
    <t>toilet partitions</t>
  </si>
  <si>
    <t>urinal screens</t>
  </si>
  <si>
    <t>hand dryer</t>
  </si>
  <si>
    <t>diaper changing station</t>
  </si>
  <si>
    <t>paper towel disposal</t>
  </si>
  <si>
    <t>Electrical</t>
  </si>
  <si>
    <t>Mechanical</t>
  </si>
  <si>
    <t>Plumbing</t>
  </si>
  <si>
    <t>Caulking doors and windows: 2 beads on each side</t>
  </si>
  <si>
    <t>avg. 4x6 window</t>
  </si>
  <si>
    <t>avg 7x3 door</t>
  </si>
  <si>
    <t>brick control joints</t>
  </si>
  <si>
    <t>Wood Trim</t>
  </si>
  <si>
    <t>1x wood wrap Columns</t>
  </si>
  <si>
    <t>average face 8"</t>
  </si>
  <si>
    <t>around windows</t>
  </si>
  <si>
    <t>Foot rail around bar</t>
  </si>
  <si>
    <t>1/2" x2 1/2" steel plate</t>
  </si>
  <si>
    <t>around bar</t>
  </si>
  <si>
    <t>Quartz Countertop</t>
  </si>
  <si>
    <t>Wood Base</t>
  </si>
  <si>
    <t>1x6 Groove Siding</t>
  </si>
  <si>
    <t>I/201</t>
  </si>
  <si>
    <t>2" metal trim H- clip</t>
  </si>
  <si>
    <t>2x10 wood Cap</t>
  </si>
  <si>
    <t>4x8 FRP panels</t>
  </si>
  <si>
    <t>Owner provided do not price</t>
  </si>
  <si>
    <t>Metal Downspout</t>
  </si>
  <si>
    <t>Clear and Grub</t>
  </si>
  <si>
    <t>EC1.2</t>
  </si>
  <si>
    <t>/43560</t>
  </si>
  <si>
    <t>ac</t>
  </si>
  <si>
    <t>Strip and Stock</t>
  </si>
  <si>
    <t>bcy</t>
  </si>
  <si>
    <t>Site Cut</t>
  </si>
  <si>
    <t>Site Fill</t>
  </si>
  <si>
    <t>*1.25</t>
  </si>
  <si>
    <t>lcy</t>
  </si>
  <si>
    <t>Borrow</t>
  </si>
  <si>
    <t>Respread</t>
  </si>
  <si>
    <t>3"</t>
  </si>
  <si>
    <t>Haul</t>
  </si>
  <si>
    <t>less spread</t>
  </si>
  <si>
    <t>Footing Exec. Machine</t>
  </si>
  <si>
    <t>Continuous footings</t>
  </si>
  <si>
    <t>Column Footings</t>
  </si>
  <si>
    <t>*95%</t>
  </si>
  <si>
    <t>Footing Exec. Hand</t>
  </si>
  <si>
    <t>5% footing exec. Mach.</t>
  </si>
  <si>
    <t>Termite Treatment</t>
  </si>
  <si>
    <t>total slab area</t>
  </si>
  <si>
    <t>sf</t>
  </si>
  <si>
    <t>Description: Site Work</t>
  </si>
  <si>
    <t>Erosion Control</t>
  </si>
  <si>
    <t>#57 stone for construction entr.</t>
  </si>
  <si>
    <t>silt fence</t>
  </si>
  <si>
    <t>hay bales</t>
  </si>
  <si>
    <t>Water Distribution</t>
  </si>
  <si>
    <t>4" PVC</t>
  </si>
  <si>
    <t>6" PVC</t>
  </si>
  <si>
    <t>45 degree bend</t>
  </si>
  <si>
    <t>90 degree bend</t>
  </si>
  <si>
    <t>cleanout</t>
  </si>
  <si>
    <t>grease trap</t>
  </si>
  <si>
    <t>plugs</t>
  </si>
  <si>
    <t>backflow preventer</t>
  </si>
  <si>
    <t>Pavements</t>
  </si>
  <si>
    <t>paving done by others</t>
  </si>
  <si>
    <t>Description: Masonry</t>
  </si>
  <si>
    <t>/1.33</t>
  </si>
  <si>
    <t>Quantity</t>
  </si>
  <si>
    <t>Material Cost</t>
  </si>
  <si>
    <t>Labor Cost</t>
  </si>
  <si>
    <t>Crew</t>
  </si>
  <si>
    <t>Craft</t>
  </si>
  <si>
    <t>csf</t>
  </si>
  <si>
    <t>Auburn University</t>
  </si>
  <si>
    <t>PRICING</t>
  </si>
  <si>
    <t xml:space="preserve">Page No: </t>
  </si>
  <si>
    <t>Building Science Department</t>
  </si>
  <si>
    <t xml:space="preserve">Sheet No. </t>
  </si>
  <si>
    <t xml:space="preserve">Date: </t>
  </si>
  <si>
    <t xml:space="preserve">Architect: </t>
  </si>
  <si>
    <t xml:space="preserve">T.O. by:   </t>
  </si>
  <si>
    <t>Equipment Cost</t>
  </si>
  <si>
    <t xml:space="preserve"> Descritption</t>
  </si>
  <si>
    <t>WS</t>
  </si>
  <si>
    <t>Material</t>
  </si>
  <si>
    <t>Daily</t>
  </si>
  <si>
    <t>Hourly</t>
  </si>
  <si>
    <t>Labor</t>
  </si>
  <si>
    <t>Equip</t>
  </si>
  <si>
    <t xml:space="preserve">                                                                                                </t>
  </si>
  <si>
    <t>Cost</t>
  </si>
  <si>
    <t>Prod.</t>
  </si>
  <si>
    <t>Days</t>
  </si>
  <si>
    <t>Hours</t>
  </si>
  <si>
    <t>No</t>
  </si>
  <si>
    <t>Rate</t>
  </si>
  <si>
    <t>Piece</t>
  </si>
  <si>
    <t xml:space="preserve"> To:</t>
  </si>
  <si>
    <t>B7</t>
  </si>
  <si>
    <t>skwk</t>
  </si>
  <si>
    <t>clab</t>
  </si>
  <si>
    <t>Eqmd</t>
  </si>
  <si>
    <t>brush chip</t>
  </si>
  <si>
    <t>craw load</t>
  </si>
  <si>
    <t>2 chainsw</t>
  </si>
  <si>
    <t>Strip &amp; Stock</t>
  </si>
  <si>
    <t>B10B</t>
  </si>
  <si>
    <t>eqmd</t>
  </si>
  <si>
    <t>dozer</t>
  </si>
  <si>
    <t>B-15D</t>
  </si>
  <si>
    <t>trck drv</t>
  </si>
  <si>
    <t>dmp trk</t>
  </si>
  <si>
    <t>Footing Exec. Mach.</t>
  </si>
  <si>
    <t>B12F</t>
  </si>
  <si>
    <t>Eqhv</t>
  </si>
  <si>
    <t>Hyd. Exac.</t>
  </si>
  <si>
    <t>2 clab</t>
  </si>
  <si>
    <t>1 Skwk</t>
  </si>
  <si>
    <t>Skwk</t>
  </si>
  <si>
    <t>Silt Fence</t>
  </si>
  <si>
    <t>#57 Stone</t>
  </si>
  <si>
    <t>B15</t>
  </si>
  <si>
    <t>2 dmp trk</t>
  </si>
  <si>
    <t>Project: Joe's Crab Shack</t>
  </si>
  <si>
    <t>Temporary Seeding</t>
  </si>
  <si>
    <t>SY</t>
  </si>
  <si>
    <t>MSF</t>
  </si>
  <si>
    <t>1 clab</t>
  </si>
  <si>
    <t>Hay Bales</t>
  </si>
  <si>
    <t>A2</t>
  </si>
  <si>
    <t>Tr. Dr.</t>
  </si>
  <si>
    <t>flatbed trc</t>
  </si>
  <si>
    <t>B20</t>
  </si>
  <si>
    <t>ea</t>
  </si>
  <si>
    <t>Cleanout</t>
  </si>
  <si>
    <t>1 plumb</t>
  </si>
  <si>
    <t>plumb</t>
  </si>
  <si>
    <t>Grease Trap</t>
  </si>
  <si>
    <t>Plugs</t>
  </si>
  <si>
    <t>1 plum</t>
  </si>
  <si>
    <t>Backflow Preventer</t>
  </si>
  <si>
    <t>Surveyor</t>
  </si>
  <si>
    <t>10K allowance</t>
  </si>
  <si>
    <t>Slab on Grade</t>
  </si>
  <si>
    <t>cy</t>
  </si>
  <si>
    <t>Cefi</t>
  </si>
  <si>
    <t>3 gas vibr</t>
  </si>
  <si>
    <t>C67</t>
  </si>
  <si>
    <t>Trhv</t>
  </si>
  <si>
    <t>conc. Mix</t>
  </si>
  <si>
    <t>conc.bck</t>
  </si>
  <si>
    <t>hyd. Crne</t>
  </si>
  <si>
    <t>Footings and Walls</t>
  </si>
  <si>
    <t>C20</t>
  </si>
  <si>
    <t>conc pum</t>
  </si>
  <si>
    <t>Rodm</t>
  </si>
  <si>
    <t>Smooth Formed</t>
  </si>
  <si>
    <t>C10B</t>
  </si>
  <si>
    <t>4 trowel</t>
  </si>
  <si>
    <t>Troweled and Broom</t>
  </si>
  <si>
    <t>C10E</t>
  </si>
  <si>
    <t>3 vib scrd</t>
  </si>
  <si>
    <t>2 ride on</t>
  </si>
  <si>
    <t>C27</t>
  </si>
  <si>
    <t>2 conc saw</t>
  </si>
  <si>
    <t>Reinforcing</t>
  </si>
  <si>
    <t>waste</t>
  </si>
  <si>
    <t>4 rodm</t>
  </si>
  <si>
    <t>rodm</t>
  </si>
  <si>
    <t>Formwork</t>
  </si>
  <si>
    <t>SFCA</t>
  </si>
  <si>
    <t>sfca</t>
  </si>
  <si>
    <t>C2</t>
  </si>
  <si>
    <t>carp</t>
  </si>
  <si>
    <t>D6</t>
  </si>
  <si>
    <t>Bric</t>
  </si>
  <si>
    <t>Brhe</t>
  </si>
  <si>
    <t>CMU block</t>
  </si>
  <si>
    <t>D8</t>
  </si>
  <si>
    <t>D4</t>
  </si>
  <si>
    <t>Eqlt</t>
  </si>
  <si>
    <t>grt pmp</t>
  </si>
  <si>
    <t>D1</t>
  </si>
  <si>
    <t>bags</t>
  </si>
  <si>
    <t>2 brhe</t>
  </si>
  <si>
    <t>brhe</t>
  </si>
  <si>
    <t xml:space="preserve">1 1/4" </t>
  </si>
  <si>
    <t>1 carp</t>
  </si>
  <si>
    <t xml:space="preserve">carp </t>
  </si>
  <si>
    <t>1"</t>
  </si>
  <si>
    <t>3/4"</t>
  </si>
  <si>
    <t>2 carp</t>
  </si>
  <si>
    <t>Scaffolding</t>
  </si>
  <si>
    <t>Control Joint</t>
  </si>
  <si>
    <t>1 brick</t>
  </si>
  <si>
    <t>bric</t>
  </si>
  <si>
    <t>C</t>
  </si>
  <si>
    <t>Wall Ties</t>
  </si>
  <si>
    <t>c</t>
  </si>
  <si>
    <t>weep screed</t>
  </si>
  <si>
    <t>/100</t>
  </si>
  <si>
    <t>clf</t>
  </si>
  <si>
    <t>Weep Screed</t>
  </si>
  <si>
    <t>2 lath</t>
  </si>
  <si>
    <t>lath</t>
  </si>
  <si>
    <t>Handrails</t>
  </si>
  <si>
    <t>E4</t>
  </si>
  <si>
    <t>Sswk</t>
  </si>
  <si>
    <t>welder</t>
  </si>
  <si>
    <t>2 Sswk</t>
  </si>
  <si>
    <t>E2</t>
  </si>
  <si>
    <t>Eqop</t>
  </si>
  <si>
    <t>oiler</t>
  </si>
  <si>
    <t>boom crn</t>
  </si>
  <si>
    <t>E7</t>
  </si>
  <si>
    <t>Sswl</t>
  </si>
  <si>
    <t>gas engine</t>
  </si>
  <si>
    <t>metal stud framing</t>
  </si>
  <si>
    <t>Cleaning</t>
  </si>
  <si>
    <t>steel plate</t>
  </si>
  <si>
    <t>E14</t>
  </si>
  <si>
    <t>ladder to roof</t>
  </si>
  <si>
    <t>Ladder</t>
  </si>
  <si>
    <t>stair treads and nosing</t>
  </si>
  <si>
    <t>Ea</t>
  </si>
  <si>
    <t>1 sswk</t>
  </si>
  <si>
    <t>Stair treads</t>
  </si>
  <si>
    <t>Total Steel</t>
  </si>
  <si>
    <t>E5</t>
  </si>
  <si>
    <t>SSwl</t>
  </si>
  <si>
    <t>Roof Trusses</t>
  </si>
  <si>
    <t>Carp</t>
  </si>
  <si>
    <t>Eqol</t>
  </si>
  <si>
    <t>5/8" Roof Sheathing</t>
  </si>
  <si>
    <t>3 carp</t>
  </si>
  <si>
    <t>1/2" Wall Sheathing</t>
  </si>
  <si>
    <t>2 layers at each wall</t>
  </si>
  <si>
    <t>avg. wall height 18'</t>
  </si>
  <si>
    <t>mbf</t>
  </si>
  <si>
    <t>2 Carp</t>
  </si>
  <si>
    <t>Roof framing</t>
  </si>
  <si>
    <t>4 carp</t>
  </si>
  <si>
    <t xml:space="preserve">2x10 </t>
  </si>
  <si>
    <t>Misc. Blocking</t>
  </si>
  <si>
    <t>bathrooms, walls</t>
  </si>
  <si>
    <t>4" thick cedar plank for wood decking</t>
  </si>
  <si>
    <t>Wood Cap</t>
  </si>
  <si>
    <t>4' wide</t>
  </si>
  <si>
    <t>E24</t>
  </si>
  <si>
    <t>Eqmd.</t>
  </si>
  <si>
    <t>Wood Booths @ Dining</t>
  </si>
  <si>
    <t>Wood Booths</t>
  </si>
  <si>
    <t>RECAP  SHEET</t>
  </si>
  <si>
    <t>Page No:       R1</t>
  </si>
  <si>
    <t>Sheet No. 1 of 1</t>
  </si>
  <si>
    <t xml:space="preserve"> Description</t>
  </si>
  <si>
    <t>Mat'l</t>
  </si>
  <si>
    <t>Equip.</t>
  </si>
  <si>
    <t>Sub</t>
  </si>
  <si>
    <t>Concrete</t>
  </si>
  <si>
    <t>Masonry</t>
  </si>
  <si>
    <t>Sub Work Insurance (.3%)</t>
  </si>
  <si>
    <t>Total Direct Cost</t>
  </si>
  <si>
    <t>Insurance (.74%)</t>
  </si>
  <si>
    <t>Permits &amp; Fees (1%)</t>
  </si>
  <si>
    <t>Financing Costs (.5%)</t>
  </si>
  <si>
    <t xml:space="preserve">Bonds </t>
  </si>
  <si>
    <t>Site Work</t>
  </si>
  <si>
    <t>submark-up</t>
  </si>
  <si>
    <t>sub mark-up</t>
  </si>
  <si>
    <t>Steel</t>
  </si>
  <si>
    <t>Millwork</t>
  </si>
  <si>
    <t>Wood Clad</t>
  </si>
  <si>
    <t>Door Hardware</t>
  </si>
  <si>
    <t>set</t>
  </si>
  <si>
    <t>Doors and Hardware</t>
  </si>
  <si>
    <t>Drywall &amp; Ceiling</t>
  </si>
  <si>
    <t>Electrical Sub price</t>
  </si>
  <si>
    <t>Plumbing Sub price</t>
  </si>
  <si>
    <t>Mechanical Sub Price</t>
  </si>
  <si>
    <t>Profit (3%)</t>
  </si>
  <si>
    <t>D7</t>
  </si>
  <si>
    <t>Tilf</t>
  </si>
  <si>
    <t>Tilh</t>
  </si>
  <si>
    <t>porcelain concrete</t>
  </si>
  <si>
    <t>Mark-up</t>
  </si>
  <si>
    <t>RFP Panels</t>
  </si>
  <si>
    <t>sub mark up</t>
  </si>
  <si>
    <t>Job Overhead</t>
  </si>
  <si>
    <t>Page No:     JOH 1</t>
  </si>
  <si>
    <t>SS</t>
  </si>
  <si>
    <t>Item</t>
  </si>
  <si>
    <t>Equipment</t>
  </si>
  <si>
    <t>Spread</t>
  </si>
  <si>
    <t>Lump</t>
  </si>
  <si>
    <t>Superintendent</t>
  </si>
  <si>
    <t>Entertainment &amp; Meals</t>
  </si>
  <si>
    <t>Truck Allowance</t>
  </si>
  <si>
    <t>Aerial Photos</t>
  </si>
  <si>
    <t>Testing</t>
  </si>
  <si>
    <t>Storage Trailer</t>
  </si>
  <si>
    <t>Field office set up</t>
  </si>
  <si>
    <t>Office Supplies</t>
  </si>
  <si>
    <t>Safety</t>
  </si>
  <si>
    <t>Temporary Electricity</t>
  </si>
  <si>
    <t>Telephone Hook up</t>
  </si>
  <si>
    <t>Cell Phones</t>
  </si>
  <si>
    <t>Temp Water</t>
  </si>
  <si>
    <t>Final Cleaning</t>
  </si>
  <si>
    <t>Dumpster Fee</t>
  </si>
  <si>
    <t>Tools</t>
  </si>
  <si>
    <t>Project Signs</t>
  </si>
  <si>
    <t>Plans &amp; Specs</t>
  </si>
  <si>
    <t>By owner</t>
  </si>
  <si>
    <t>Office Trailer</t>
  </si>
  <si>
    <t>Laborer</t>
  </si>
  <si>
    <t>Backhoe</t>
  </si>
  <si>
    <t>Lull</t>
  </si>
  <si>
    <t>General Cleanup</t>
  </si>
  <si>
    <t>Carpenter</t>
  </si>
  <si>
    <t>Roofing</t>
  </si>
  <si>
    <t>TPO Roofing</t>
  </si>
  <si>
    <t>TPO roofing</t>
  </si>
  <si>
    <t>sq</t>
  </si>
  <si>
    <t>G5</t>
  </si>
  <si>
    <t>SSwk</t>
  </si>
  <si>
    <t>Rohe</t>
  </si>
  <si>
    <t>appl equip.</t>
  </si>
  <si>
    <t>G1</t>
  </si>
  <si>
    <t>Slab Vapor Barrier</t>
  </si>
  <si>
    <t>tar kettle</t>
  </si>
  <si>
    <t>crew trck</t>
  </si>
  <si>
    <t>Rigid Insulation</t>
  </si>
  <si>
    <t>avg. 3"</t>
  </si>
  <si>
    <t>1 rofc</t>
  </si>
  <si>
    <t>Rofc</t>
  </si>
  <si>
    <t>Groove Siding</t>
  </si>
  <si>
    <t>Sub Mark-up</t>
  </si>
  <si>
    <t>1 Bric</t>
  </si>
  <si>
    <t>Sub Mark-Up</t>
  </si>
  <si>
    <t>Pord</t>
  </si>
  <si>
    <t>Paint gyp board</t>
  </si>
  <si>
    <t>Paint Doors</t>
  </si>
  <si>
    <t>1 pord</t>
  </si>
  <si>
    <t>1 Pord</t>
  </si>
  <si>
    <t>Fire Extinguishers</t>
  </si>
  <si>
    <t>Signage</t>
  </si>
  <si>
    <t>Shelving</t>
  </si>
  <si>
    <t>Base Bid</t>
  </si>
  <si>
    <t>Description: Job Overhead</t>
  </si>
  <si>
    <t>Hunter Himes</t>
  </si>
  <si>
    <t>T.O.</t>
  </si>
  <si>
    <t>Date: 3/18/2014</t>
  </si>
  <si>
    <t>ton</t>
  </si>
  <si>
    <t>Description: Recap Sheet</t>
  </si>
  <si>
    <t>Date: 03/18/2014</t>
  </si>
  <si>
    <t>Date:  03/18/2014</t>
  </si>
  <si>
    <t>T.O. by:   HJH</t>
  </si>
  <si>
    <t>Description: MEP Pricing</t>
  </si>
  <si>
    <t>Description: MEP</t>
  </si>
  <si>
    <t>Description: Specialties Price</t>
  </si>
  <si>
    <t>Description: Paint Price</t>
  </si>
  <si>
    <t>Description: Gypsum Board Price</t>
  </si>
  <si>
    <t>Description: Flooring Price</t>
  </si>
  <si>
    <t>Description: Doors &amp; Windows Price</t>
  </si>
  <si>
    <t>Description: Caulking Price</t>
  </si>
  <si>
    <t>Description: Roofing Price</t>
  </si>
  <si>
    <t>Description: Wood Price</t>
  </si>
  <si>
    <t>Description: Masonry Price</t>
  </si>
  <si>
    <t>Description: Concrete Price</t>
  </si>
  <si>
    <t>T.O. by: HJH</t>
  </si>
  <si>
    <t>Description: Site Work Price</t>
  </si>
  <si>
    <r>
      <t xml:space="preserve"> Transfer to: </t>
    </r>
    <r>
      <rPr>
        <b/>
        <u/>
        <sz val="10"/>
        <rFont val="Arial"/>
        <family val="2"/>
      </rPr>
      <t xml:space="preserve">    R-1      </t>
    </r>
  </si>
  <si>
    <t>4 Rodm</t>
  </si>
  <si>
    <t>LB &amp; Umbrella (30.06%)</t>
  </si>
  <si>
    <t>Sales Tax (7%)</t>
  </si>
  <si>
    <t>Total DC</t>
  </si>
  <si>
    <t>Less</t>
  </si>
  <si>
    <t>Bond $</t>
  </si>
  <si>
    <t>Bid Calculation</t>
  </si>
  <si>
    <t>We will be able to use the lot next to the site for laydown and job trailer</t>
  </si>
  <si>
    <t>Owner is going to hold 5% retainage</t>
  </si>
  <si>
    <t>Specialties</t>
  </si>
  <si>
    <t xml:space="preserve">Mechanical </t>
  </si>
  <si>
    <t>General Contractor</t>
  </si>
  <si>
    <t>Schedule of Values</t>
  </si>
  <si>
    <t>General Overhead (%)</t>
  </si>
  <si>
    <t>Thicken Slab to 6"</t>
  </si>
  <si>
    <t>recommend change because of geotech report</t>
  </si>
  <si>
    <t>6" Concrete Slab</t>
  </si>
  <si>
    <t>Sub mark-up</t>
  </si>
  <si>
    <t>Description: Alternate #1</t>
  </si>
  <si>
    <t xml:space="preserve">Change sealed concrete to Wood Plank </t>
  </si>
  <si>
    <t>Wood Plank</t>
  </si>
  <si>
    <t>GC to install countertop but not bar</t>
  </si>
  <si>
    <t>Testing will be by owner</t>
  </si>
  <si>
    <t>Page No:  1</t>
  </si>
  <si>
    <t>Page No: P1</t>
  </si>
  <si>
    <t>Page No: P2</t>
  </si>
  <si>
    <t>Page No:  2</t>
  </si>
  <si>
    <t>Page No:  3</t>
  </si>
  <si>
    <t>Page No: P3</t>
  </si>
  <si>
    <t>Page No:  4</t>
  </si>
  <si>
    <t>Page No: P4</t>
  </si>
  <si>
    <t>Page No:  5</t>
  </si>
  <si>
    <t>Page No: P5</t>
  </si>
  <si>
    <t>Page No:  6</t>
  </si>
  <si>
    <t>Page No: P6</t>
  </si>
  <si>
    <t>Page No:  7</t>
  </si>
  <si>
    <t>Page No: P7</t>
  </si>
  <si>
    <t>Page No: P8</t>
  </si>
  <si>
    <t>Page No:  8</t>
  </si>
  <si>
    <t>Page No: P9</t>
  </si>
  <si>
    <t>Page No:  9</t>
  </si>
  <si>
    <t>Page No: P10</t>
  </si>
  <si>
    <t>Page No: P11</t>
  </si>
  <si>
    <t>Page No: P12</t>
  </si>
  <si>
    <t>Page No:  10</t>
  </si>
  <si>
    <t>Page No: P13</t>
  </si>
  <si>
    <t>Page No:  11</t>
  </si>
  <si>
    <t>Page No: P14</t>
  </si>
  <si>
    <t>Page No:  A1</t>
  </si>
  <si>
    <t>AP 1</t>
  </si>
  <si>
    <t>Page No:  A2</t>
  </si>
  <si>
    <t>AP 2</t>
  </si>
  <si>
    <t>HJH</t>
  </si>
  <si>
    <t>Date:  3/15/2014</t>
  </si>
  <si>
    <t>Date: 5/15/2014</t>
  </si>
  <si>
    <t>Date:  05/15/2014</t>
  </si>
  <si>
    <t>Description: Alternate #2</t>
  </si>
  <si>
    <t>C2.1</t>
  </si>
  <si>
    <t>A202</t>
  </si>
  <si>
    <t>I/203</t>
  </si>
  <si>
    <t>A/203</t>
  </si>
  <si>
    <t>I/205</t>
  </si>
  <si>
    <t>A/121</t>
  </si>
  <si>
    <t>I/207</t>
  </si>
  <si>
    <t>A/401</t>
  </si>
  <si>
    <t>specs</t>
  </si>
  <si>
    <t>E/101</t>
  </si>
  <si>
    <t>M/101</t>
  </si>
  <si>
    <t>P/101</t>
  </si>
  <si>
    <t>To P</t>
  </si>
  <si>
    <t>P1</t>
  </si>
  <si>
    <t>P2</t>
  </si>
  <si>
    <t>P3</t>
  </si>
  <si>
    <t>P4</t>
  </si>
  <si>
    <t>P5</t>
  </si>
  <si>
    <t>Ton</t>
  </si>
  <si>
    <t>P6</t>
  </si>
  <si>
    <t>P7</t>
  </si>
  <si>
    <t>P8</t>
  </si>
  <si>
    <t>P9</t>
  </si>
  <si>
    <t>P10</t>
  </si>
  <si>
    <t>P11</t>
  </si>
  <si>
    <t>Galvanize Sheet Metal</t>
  </si>
  <si>
    <t>P12</t>
  </si>
  <si>
    <t>P14</t>
  </si>
  <si>
    <t>AP1</t>
  </si>
  <si>
    <t>AP2</t>
  </si>
  <si>
    <t>A1</t>
  </si>
  <si>
    <t>P13</t>
  </si>
  <si>
    <t>JOH1</t>
  </si>
  <si>
    <t>QTO &amp; Pricing Table of Contents</t>
  </si>
  <si>
    <t xml:space="preserve">QTO </t>
  </si>
  <si>
    <t>Wood</t>
  </si>
  <si>
    <t>Insulation</t>
  </si>
  <si>
    <t>Doors &amp; Windows</t>
  </si>
  <si>
    <t>MEP</t>
  </si>
  <si>
    <t>Alternate #1</t>
  </si>
  <si>
    <t>Alternate #2</t>
  </si>
  <si>
    <t>Pricing</t>
  </si>
  <si>
    <t>Site Work #1</t>
  </si>
  <si>
    <t>Site Work #2</t>
  </si>
  <si>
    <t>Rough Carpentry</t>
  </si>
  <si>
    <t xml:space="preserve">MEP </t>
  </si>
  <si>
    <t>Assumptions</t>
  </si>
  <si>
    <t>Recap</t>
  </si>
  <si>
    <t>SOV</t>
  </si>
  <si>
    <t>Concrete #1</t>
  </si>
  <si>
    <t>Concrete #2</t>
  </si>
  <si>
    <t>Table of Contents</t>
  </si>
  <si>
    <t>Project:  Joe's Crab Shack</t>
  </si>
  <si>
    <t>PR</t>
  </si>
  <si>
    <t>Finishes</t>
  </si>
  <si>
    <t xml:space="preserve">Brick mockup G.C. supply's only lumber </t>
  </si>
  <si>
    <t>1/2" grade sheathing at all exterior walls</t>
  </si>
  <si>
    <t>Roof curb goes the entire perimeter of building</t>
  </si>
  <si>
    <t>3" of respreads topsoil</t>
  </si>
  <si>
    <t>Owners general contractor items are not included in bid</t>
  </si>
  <si>
    <t>owner is holding 10% retainage</t>
  </si>
  <si>
    <t>Field Office Equipment</t>
  </si>
  <si>
    <t>Sanitary Facilities</t>
  </si>
  <si>
    <t>Miscellaneous Expenses</t>
  </si>
  <si>
    <t>temporary seeding</t>
  </si>
  <si>
    <t>Vapor Barrier</t>
  </si>
  <si>
    <t>around perimeter of building</t>
  </si>
  <si>
    <t>veneer ties</t>
  </si>
  <si>
    <t>scaffolding</t>
  </si>
  <si>
    <t>Miscellaneous Steel 10%</t>
  </si>
  <si>
    <t>Canopy around bldg.</t>
  </si>
  <si>
    <t>Description: Steel Price</t>
  </si>
  <si>
    <t>lb.</t>
  </si>
  <si>
    <t>TN</t>
  </si>
  <si>
    <t>Misc. Steel</t>
  </si>
  <si>
    <t>55 TN crne</t>
  </si>
  <si>
    <t>Description: Finishes</t>
  </si>
  <si>
    <t>Acoustical Ceiling</t>
  </si>
  <si>
    <t>6x24 porcelain plank</t>
  </si>
  <si>
    <t>6x6 quarry tile</t>
  </si>
  <si>
    <t>Description: Specialties</t>
  </si>
  <si>
    <t>sanitary napkin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</si>
</sst>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6" formatCode="0.000"/>
    <numFmt numFmtId="167" formatCode="_(&quot;$&quot;* #,##0.000000_);_(&quot;$&quot;* \(#,##0.000000\);_(&quot;$&quot;* &quot;-&quot;??_);_(@_)"/>
    <numFmt numFmtId="168" formatCode="&quot;$&quot;#,##0"/>
  </numFmts>
  <fonts count="25" x14ac:knownFonts="1">
    <font>
      <sz val="11"/>
      <color theme="1"/>
      <name val="Calibri"/>
      <family val="2"/>
      <scheme val="minor"/>
    </font>
    <font>
      <sz val="12"/>
      <name val="Modern No. 20"/>
      <family val="1"/>
    </font>
    <font>
      <sz val="10"/>
      <name val="Modern No. 20"/>
      <family val="1"/>
    </font>
    <font>
      <sz val="14"/>
      <name val="Modern No. 20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Modern No. 20"/>
      <family val="1"/>
    </font>
    <font>
      <sz val="8"/>
      <name val="Arial"/>
      <family val="2"/>
    </font>
    <font>
      <u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2"/>
      <name val="Times New Roman"/>
      <family val="1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/>
    <xf numFmtId="0" fontId="10" fillId="0" borderId="0"/>
    <xf numFmtId="0" fontId="20" fillId="0" borderId="0"/>
  </cellStyleXfs>
  <cellXfs count="7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3" xfId="0" applyFont="1" applyBorder="1"/>
    <xf numFmtId="0" fontId="0" fillId="0" borderId="4" xfId="0" applyBorder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0" fontId="0" fillId="0" borderId="15" xfId="0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0" fillId="0" borderId="13" xfId="0" applyNumberFormat="1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8" fillId="0" borderId="10" xfId="0" applyFont="1" applyBorder="1" applyAlignment="1">
      <alignment horizontal="center"/>
    </xf>
    <xf numFmtId="2" fontId="0" fillId="2" borderId="13" xfId="0" applyNumberFormat="1" applyFill="1" applyBorder="1"/>
    <xf numFmtId="0" fontId="8" fillId="2" borderId="17" xfId="0" applyFont="1" applyFill="1" applyBorder="1"/>
    <xf numFmtId="0" fontId="0" fillId="2" borderId="13" xfId="0" applyFill="1" applyBorder="1"/>
    <xf numFmtId="0" fontId="0" fillId="2" borderId="17" xfId="0" applyFill="1" applyBorder="1"/>
    <xf numFmtId="2" fontId="0" fillId="2" borderId="20" xfId="0" applyNumberFormat="1" applyFill="1" applyBorder="1"/>
    <xf numFmtId="0" fontId="8" fillId="2" borderId="25" xfId="0" applyFont="1" applyFill="1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0" fontId="0" fillId="0" borderId="3" xfId="0" applyBorder="1"/>
    <xf numFmtId="0" fontId="0" fillId="0" borderId="5" xfId="0" applyBorder="1"/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6" xfId="0" applyBorder="1"/>
    <xf numFmtId="0" fontId="8" fillId="0" borderId="49" xfId="0" applyFont="1" applyBorder="1" applyAlignment="1">
      <alignment horizontal="center"/>
    </xf>
    <xf numFmtId="2" fontId="0" fillId="0" borderId="49" xfId="0" applyNumberFormat="1" applyBorder="1"/>
    <xf numFmtId="0" fontId="8" fillId="0" borderId="5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51" xfId="0" applyBorder="1"/>
    <xf numFmtId="0" fontId="8" fillId="2" borderId="16" xfId="0" applyFont="1" applyFill="1" applyBorder="1"/>
    <xf numFmtId="0" fontId="0" fillId="0" borderId="45" xfId="0" applyBorder="1" applyAlignment="1">
      <alignment horizontal="center"/>
    </xf>
    <xf numFmtId="2" fontId="0" fillId="2" borderId="49" xfId="0" applyNumberFormat="1" applyFill="1" applyBorder="1"/>
    <xf numFmtId="0" fontId="0" fillId="0" borderId="49" xfId="0" applyBorder="1" applyAlignment="1">
      <alignment horizontal="center"/>
    </xf>
    <xf numFmtId="0" fontId="8" fillId="3" borderId="16" xfId="0" applyFont="1" applyFill="1" applyBorder="1"/>
    <xf numFmtId="0" fontId="8" fillId="3" borderId="17" xfId="0" applyFont="1" applyFill="1" applyBorder="1"/>
    <xf numFmtId="0" fontId="8" fillId="0" borderId="49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1" fontId="8" fillId="0" borderId="49" xfId="0" applyNumberFormat="1" applyFont="1" applyBorder="1" applyAlignment="1">
      <alignment horizontal="right"/>
    </xf>
    <xf numFmtId="1" fontId="0" fillId="0" borderId="0" xfId="0" applyNumberFormat="1"/>
    <xf numFmtId="0" fontId="0" fillId="0" borderId="19" xfId="0" applyBorder="1"/>
    <xf numFmtId="0" fontId="0" fillId="0" borderId="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8" fillId="0" borderId="2" xfId="0" applyFont="1" applyBorder="1"/>
    <xf numFmtId="0" fontId="0" fillId="0" borderId="45" xfId="0" applyBorder="1"/>
    <xf numFmtId="0" fontId="0" fillId="0" borderId="19" xfId="0" applyBorder="1" applyAlignment="1">
      <alignment horizontal="center"/>
    </xf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3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3" borderId="25" xfId="0" applyFont="1" applyFill="1" applyBorder="1"/>
    <xf numFmtId="0" fontId="11" fillId="0" borderId="0" xfId="0" applyFont="1"/>
    <xf numFmtId="164" fontId="4" fillId="0" borderId="0" xfId="0" applyNumberFormat="1" applyFont="1" applyBorder="1"/>
    <xf numFmtId="0" fontId="0" fillId="0" borderId="0" xfId="0" applyBorder="1" applyAlignment="1">
      <alignment horizontal="centerContinuous"/>
    </xf>
    <xf numFmtId="164" fontId="2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164" fontId="4" fillId="0" borderId="1" xfId="0" applyNumberFormat="1" applyFont="1" applyBorder="1"/>
    <xf numFmtId="0" fontId="4" fillId="0" borderId="32" xfId="0" applyFont="1" applyBorder="1"/>
    <xf numFmtId="0" fontId="0" fillId="0" borderId="32" xfId="0" applyBorder="1"/>
    <xf numFmtId="0" fontId="4" fillId="0" borderId="58" xfId="0" applyFont="1" applyBorder="1"/>
    <xf numFmtId="164" fontId="4" fillId="0" borderId="32" xfId="0" applyNumberFormat="1" applyFont="1" applyBorder="1"/>
    <xf numFmtId="0" fontId="12" fillId="0" borderId="59" xfId="0" applyFont="1" applyBorder="1"/>
    <xf numFmtId="0" fontId="12" fillId="0" borderId="0" xfId="0" applyFont="1" applyBorder="1"/>
    <xf numFmtId="0" fontId="12" fillId="0" borderId="60" xfId="0" applyFont="1" applyBorder="1"/>
    <xf numFmtId="0" fontId="12" fillId="0" borderId="10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61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164" fontId="12" fillId="0" borderId="11" xfId="0" applyNumberFormat="1" applyFont="1" applyBorder="1" applyAlignment="1">
      <alignment horizontal="centerContinuous"/>
    </xf>
    <xf numFmtId="0" fontId="12" fillId="0" borderId="62" xfId="0" applyFont="1" applyBorder="1" applyAlignment="1">
      <alignment horizontal="centerContinuous"/>
    </xf>
    <xf numFmtId="0" fontId="12" fillId="0" borderId="63" xfId="0" applyFont="1" applyBorder="1"/>
    <xf numFmtId="0" fontId="12" fillId="0" borderId="37" xfId="0" applyFont="1" applyBorder="1"/>
    <xf numFmtId="0" fontId="12" fillId="0" borderId="64" xfId="0" applyFont="1" applyBorder="1"/>
    <xf numFmtId="0" fontId="12" fillId="0" borderId="59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60" xfId="0" applyFont="1" applyBorder="1" applyAlignment="1">
      <alignment horizontal="centerContinuous"/>
    </xf>
    <xf numFmtId="0" fontId="12" fillId="0" borderId="3" xfId="0" applyFont="1" applyBorder="1"/>
    <xf numFmtId="0" fontId="12" fillId="0" borderId="9" xfId="0" applyFont="1" applyBorder="1"/>
    <xf numFmtId="0" fontId="12" fillId="0" borderId="3" xfId="0" applyFont="1" applyBorder="1" applyAlignment="1">
      <alignment horizontal="centerContinuous"/>
    </xf>
    <xf numFmtId="0" fontId="6" fillId="0" borderId="61" xfId="0" applyFont="1" applyBorder="1" applyAlignment="1">
      <alignment horizontal="center"/>
    </xf>
    <xf numFmtId="0" fontId="12" fillId="0" borderId="9" xfId="0" applyFont="1" applyBorder="1" applyAlignment="1">
      <alignment horizontal="centerContinuous"/>
    </xf>
    <xf numFmtId="0" fontId="12" fillId="0" borderId="9" xfId="0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6" xfId="0" applyFont="1" applyBorder="1" applyAlignment="1">
      <alignment horizontal="centerContinuous"/>
    </xf>
    <xf numFmtId="0" fontId="12" fillId="0" borderId="67" xfId="0" applyFont="1" applyBorder="1" applyAlignment="1">
      <alignment horizontal="centerContinuous"/>
    </xf>
    <xf numFmtId="0" fontId="12" fillId="0" borderId="68" xfId="0" applyFont="1" applyBorder="1" applyAlignment="1">
      <alignment horizontal="centerContinuous"/>
    </xf>
    <xf numFmtId="0" fontId="12" fillId="0" borderId="69" xfId="0" applyFont="1" applyBorder="1" applyAlignment="1">
      <alignment horizontal="centerContinuous"/>
    </xf>
    <xf numFmtId="0" fontId="12" fillId="0" borderId="70" xfId="0" applyFont="1" applyBorder="1"/>
    <xf numFmtId="0" fontId="12" fillId="0" borderId="68" xfId="0" applyFont="1" applyBorder="1" applyAlignment="1">
      <alignment horizontal="center"/>
    </xf>
    <xf numFmtId="0" fontId="12" fillId="0" borderId="70" xfId="0" applyFont="1" applyBorder="1" applyAlignment="1">
      <alignment textRotation="90"/>
    </xf>
    <xf numFmtId="0" fontId="6" fillId="0" borderId="71" xfId="0" applyFont="1" applyBorder="1" applyAlignment="1">
      <alignment horizontal="center"/>
    </xf>
    <xf numFmtId="0" fontId="12" fillId="0" borderId="70" xfId="0" applyFont="1" applyBorder="1" applyAlignment="1">
      <alignment horizontal="centerContinuous"/>
    </xf>
    <xf numFmtId="0" fontId="12" fillId="0" borderId="70" xfId="0" applyFont="1" applyBorder="1" applyAlignment="1">
      <alignment horizontal="center"/>
    </xf>
    <xf numFmtId="164" fontId="12" fillId="0" borderId="70" xfId="0" applyNumberFormat="1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68" xfId="0" applyFont="1" applyBorder="1" applyAlignment="1">
      <alignment horizontal="centerContinuous"/>
    </xf>
    <xf numFmtId="0" fontId="12" fillId="0" borderId="73" xfId="0" applyFont="1" applyBorder="1" applyAlignment="1">
      <alignment textRotation="90"/>
    </xf>
    <xf numFmtId="0" fontId="13" fillId="0" borderId="74" xfId="0" applyFont="1" applyBorder="1"/>
    <xf numFmtId="0" fontId="6" fillId="0" borderId="75" xfId="0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78" xfId="0" applyFont="1" applyBorder="1"/>
    <xf numFmtId="0" fontId="6" fillId="0" borderId="79" xfId="0" applyFont="1" applyBorder="1" applyAlignment="1">
      <alignment horizontal="center"/>
    </xf>
    <xf numFmtId="0" fontId="6" fillId="0" borderId="80" xfId="0" applyFont="1" applyBorder="1"/>
    <xf numFmtId="0" fontId="6" fillId="0" borderId="16" xfId="0" applyFont="1" applyBorder="1"/>
    <xf numFmtId="164" fontId="6" fillId="0" borderId="77" xfId="0" applyNumberFormat="1" applyFont="1" applyBorder="1"/>
    <xf numFmtId="0" fontId="6" fillId="0" borderId="79" xfId="0" applyFont="1" applyBorder="1"/>
    <xf numFmtId="0" fontId="6" fillId="0" borderId="80" xfId="0" applyFont="1" applyBorder="1" applyAlignment="1">
      <alignment horizontal="center"/>
    </xf>
    <xf numFmtId="0" fontId="6" fillId="0" borderId="81" xfId="0" applyFont="1" applyBorder="1"/>
    <xf numFmtId="0" fontId="6" fillId="0" borderId="82" xfId="0" applyFont="1" applyBorder="1"/>
    <xf numFmtId="0" fontId="6" fillId="0" borderId="2" xfId="0" applyFont="1" applyBorder="1"/>
    <xf numFmtId="0" fontId="6" fillId="0" borderId="46" xfId="0" applyFont="1" applyBorder="1"/>
    <xf numFmtId="0" fontId="6" fillId="0" borderId="57" xfId="0" applyFont="1" applyBorder="1"/>
    <xf numFmtId="0" fontId="6" fillId="0" borderId="83" xfId="0" applyFont="1" applyBorder="1" applyAlignment="1">
      <alignment horizontal="center"/>
    </xf>
    <xf numFmtId="0" fontId="6" fillId="0" borderId="56" xfId="0" applyFont="1" applyBorder="1"/>
    <xf numFmtId="164" fontId="6" fillId="0" borderId="16" xfId="0" applyNumberFormat="1" applyFont="1" applyBorder="1"/>
    <xf numFmtId="0" fontId="6" fillId="0" borderId="83" xfId="0" applyFont="1" applyBorder="1"/>
    <xf numFmtId="0" fontId="6" fillId="0" borderId="5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84" xfId="0" applyFont="1" applyBorder="1"/>
    <xf numFmtId="0" fontId="6" fillId="0" borderId="85" xfId="0" applyFont="1" applyBorder="1"/>
    <xf numFmtId="164" fontId="6" fillId="0" borderId="85" xfId="0" applyNumberFormat="1" applyFont="1" applyBorder="1"/>
    <xf numFmtId="0" fontId="13" fillId="0" borderId="82" xfId="0" applyFont="1" applyBorder="1"/>
    <xf numFmtId="0" fontId="6" fillId="0" borderId="86" xfId="0" applyFont="1" applyBorder="1"/>
    <xf numFmtId="0" fontId="6" fillId="0" borderId="58" xfId="0" applyFont="1" applyBorder="1"/>
    <xf numFmtId="0" fontId="6" fillId="0" borderId="87" xfId="0" applyFont="1" applyBorder="1"/>
    <xf numFmtId="0" fontId="6" fillId="0" borderId="88" xfId="0" applyFont="1" applyBorder="1"/>
    <xf numFmtId="0" fontId="6" fillId="0" borderId="89" xfId="0" applyFont="1" applyBorder="1"/>
    <xf numFmtId="0" fontId="6" fillId="0" borderId="90" xfId="0" applyFont="1" applyBorder="1" applyAlignment="1">
      <alignment horizontal="center"/>
    </xf>
    <xf numFmtId="0" fontId="6" fillId="0" borderId="91" xfId="0" applyFont="1" applyBorder="1"/>
    <xf numFmtId="164" fontId="6" fillId="0" borderId="88" xfId="0" applyNumberFormat="1" applyFont="1" applyBorder="1"/>
    <xf numFmtId="0" fontId="6" fillId="0" borderId="90" xfId="0" applyFont="1" applyBorder="1"/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/>
    <xf numFmtId="0" fontId="6" fillId="4" borderId="95" xfId="0" applyFont="1" applyFill="1" applyBorder="1"/>
    <xf numFmtId="0" fontId="6" fillId="4" borderId="32" xfId="0" applyFont="1" applyFill="1" applyBorder="1"/>
    <xf numFmtId="0" fontId="6" fillId="4" borderId="30" xfId="0" applyFont="1" applyFill="1" applyBorder="1"/>
    <xf numFmtId="0" fontId="6" fillId="0" borderId="96" xfId="0" applyFont="1" applyFill="1" applyBorder="1" applyAlignment="1">
      <alignment horizontal="right"/>
    </xf>
    <xf numFmtId="0" fontId="6" fillId="4" borderId="97" xfId="0" applyFont="1" applyFill="1" applyBorder="1" applyAlignment="1">
      <alignment horizontal="right"/>
    </xf>
    <xf numFmtId="0" fontId="6" fillId="4" borderId="98" xfId="0" applyFont="1" applyFill="1" applyBorder="1" applyAlignment="1">
      <alignment horizontal="right"/>
    </xf>
    <xf numFmtId="164" fontId="6" fillId="4" borderId="99" xfId="0" applyNumberFormat="1" applyFont="1" applyFill="1" applyBorder="1" applyAlignment="1">
      <alignment horizontal="right"/>
    </xf>
    <xf numFmtId="0" fontId="6" fillId="0" borderId="100" xfId="0" applyFont="1" applyFill="1" applyBorder="1" applyAlignment="1">
      <alignment horizontal="right"/>
    </xf>
    <xf numFmtId="0" fontId="6" fillId="0" borderId="101" xfId="0" applyFont="1" applyFill="1" applyBorder="1"/>
    <xf numFmtId="0" fontId="6" fillId="0" borderId="102" xfId="0" applyFont="1" applyFill="1" applyBorder="1"/>
    <xf numFmtId="0" fontId="4" fillId="0" borderId="1" xfId="0" applyFont="1" applyBorder="1"/>
    <xf numFmtId="0" fontId="0" fillId="0" borderId="0" xfId="0"/>
    <xf numFmtId="0" fontId="0" fillId="0" borderId="0" xfId="0" applyBorder="1"/>
    <xf numFmtId="0" fontId="8" fillId="0" borderId="54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centerContinuous"/>
    </xf>
    <xf numFmtId="0" fontId="8" fillId="0" borderId="32" xfId="0" applyNumberFormat="1" applyFont="1" applyFill="1" applyBorder="1" applyAlignment="1" applyProtection="1"/>
    <xf numFmtId="0" fontId="9" fillId="0" borderId="103" xfId="0" applyNumberFormat="1" applyFont="1" applyFill="1" applyBorder="1" applyAlignment="1" applyProtection="1">
      <alignment horizontal="center"/>
    </xf>
    <xf numFmtId="0" fontId="9" fillId="0" borderId="104" xfId="0" applyNumberFormat="1" applyFont="1" applyFill="1" applyBorder="1" applyAlignment="1" applyProtection="1"/>
    <xf numFmtId="0" fontId="8" fillId="0" borderId="105" xfId="0" applyNumberFormat="1" applyFont="1" applyFill="1" applyBorder="1" applyAlignment="1" applyProtection="1"/>
    <xf numFmtId="0" fontId="9" fillId="0" borderId="103" xfId="0" applyNumberFormat="1" applyFont="1" applyFill="1" applyBorder="1" applyAlignment="1" applyProtection="1"/>
    <xf numFmtId="0" fontId="9" fillId="0" borderId="106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9" fillId="0" borderId="30" xfId="0" applyNumberFormat="1" applyFont="1" applyFill="1" applyBorder="1" applyAlignment="1" applyProtection="1">
      <alignment horizontal="center"/>
    </xf>
    <xf numFmtId="0" fontId="8" fillId="0" borderId="47" xfId="0" applyNumberFormat="1" applyFont="1" applyFill="1" applyBorder="1" applyAlignment="1" applyProtection="1">
      <alignment horizontal="center"/>
    </xf>
    <xf numFmtId="0" fontId="8" fillId="0" borderId="109" xfId="0" applyNumberFormat="1" applyFont="1" applyFill="1" applyBorder="1" applyAlignment="1" applyProtection="1">
      <alignment horizontal="center"/>
    </xf>
    <xf numFmtId="3" fontId="8" fillId="0" borderId="110" xfId="0" applyNumberFormat="1" applyFont="1" applyFill="1" applyBorder="1" applyAlignment="1" applyProtection="1">
      <alignment horizontal="right"/>
    </xf>
    <xf numFmtId="0" fontId="8" fillId="0" borderId="49" xfId="0" applyNumberFormat="1" applyFont="1" applyFill="1" applyBorder="1" applyAlignment="1" applyProtection="1">
      <alignment horizontal="center"/>
    </xf>
    <xf numFmtId="0" fontId="8" fillId="0" borderId="16" xfId="0" applyNumberFormat="1" applyFont="1" applyFill="1" applyBorder="1" applyAlignment="1" applyProtection="1">
      <alignment horizontal="center"/>
    </xf>
    <xf numFmtId="3" fontId="8" fillId="0" borderId="111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>
      <alignment horizontal="right"/>
    </xf>
    <xf numFmtId="0" fontId="8" fillId="0" borderId="109" xfId="0" applyNumberFormat="1" applyFont="1" applyFill="1" applyBorder="1" applyAlignment="1" applyProtection="1"/>
    <xf numFmtId="3" fontId="8" fillId="0" borderId="112" xfId="0" applyNumberFormat="1" applyFont="1" applyFill="1" applyBorder="1" applyAlignment="1" applyProtection="1">
      <alignment horizontal="right"/>
    </xf>
    <xf numFmtId="2" fontId="8" fillId="0" borderId="16" xfId="0" applyNumberFormat="1" applyFont="1" applyFill="1" applyBorder="1" applyAlignment="1" applyProtection="1">
      <alignment horizontal="center"/>
    </xf>
    <xf numFmtId="0" fontId="8" fillId="0" borderId="113" xfId="0" applyNumberFormat="1" applyFont="1" applyFill="1" applyBorder="1" applyAlignment="1" applyProtection="1">
      <alignment horizontal="center"/>
    </xf>
    <xf numFmtId="0" fontId="8" fillId="0" borderId="114" xfId="0" applyNumberFormat="1" applyFont="1" applyFill="1" applyBorder="1" applyAlignment="1" applyProtection="1"/>
    <xf numFmtId="0" fontId="8" fillId="0" borderId="115" xfId="0" applyNumberFormat="1" applyFont="1" applyFill="1" applyBorder="1" applyAlignment="1" applyProtection="1"/>
    <xf numFmtId="0" fontId="8" fillId="0" borderId="85" xfId="0" applyNumberFormat="1" applyFont="1" applyFill="1" applyBorder="1" applyAlignment="1" applyProtection="1">
      <alignment horizontal="center"/>
    </xf>
    <xf numFmtId="3" fontId="8" fillId="0" borderId="116" xfId="0" applyNumberFormat="1" applyFont="1" applyFill="1" applyBorder="1" applyAlignment="1" applyProtection="1">
      <alignment horizontal="right"/>
    </xf>
    <xf numFmtId="2" fontId="8" fillId="0" borderId="109" xfId="0" applyNumberFormat="1" applyFont="1" applyFill="1" applyBorder="1" applyAlignment="1" applyProtection="1">
      <alignment horizontal="center"/>
    </xf>
    <xf numFmtId="0" fontId="8" fillId="0" borderId="49" xfId="0" applyNumberFormat="1" applyFont="1" applyFill="1" applyBorder="1" applyAlignment="1" applyProtection="1"/>
    <xf numFmtId="0" fontId="8" fillId="0" borderId="85" xfId="0" applyNumberFormat="1" applyFont="1" applyFill="1" applyBorder="1" applyAlignment="1" applyProtection="1"/>
    <xf numFmtId="0" fontId="8" fillId="0" borderId="117" xfId="0" applyNumberFormat="1" applyFont="1" applyFill="1" applyBorder="1" applyAlignment="1" applyProtection="1">
      <alignment horizontal="center"/>
    </xf>
    <xf numFmtId="0" fontId="9" fillId="0" borderId="118" xfId="0" applyNumberFormat="1" applyFont="1" applyFill="1" applyBorder="1" applyAlignment="1" applyProtection="1">
      <alignment horizontal="left"/>
    </xf>
    <xf numFmtId="0" fontId="9" fillId="0" borderId="119" xfId="0" applyNumberFormat="1" applyFont="1" applyFill="1" applyBorder="1" applyAlignment="1" applyProtection="1">
      <alignment horizontal="right"/>
    </xf>
    <xf numFmtId="0" fontId="8" fillId="0" borderId="120" xfId="0" applyNumberFormat="1" applyFont="1" applyFill="1" applyBorder="1" applyAlignment="1" applyProtection="1"/>
    <xf numFmtId="4" fontId="8" fillId="0" borderId="111" xfId="0" applyNumberFormat="1" applyFont="1" applyFill="1" applyBorder="1" applyAlignment="1" applyProtection="1">
      <alignment horizontal="right"/>
    </xf>
    <xf numFmtId="4" fontId="8" fillId="0" borderId="116" xfId="0" applyNumberFormat="1" applyFont="1" applyFill="1" applyBorder="1" applyAlignment="1" applyProtection="1">
      <alignment horizontal="right"/>
    </xf>
    <xf numFmtId="0" fontId="8" fillId="0" borderId="50" xfId="0" applyNumberFormat="1" applyFont="1" applyFill="1" applyBorder="1" applyAlignment="1" applyProtection="1">
      <alignment horizontal="center"/>
    </xf>
    <xf numFmtId="0" fontId="9" fillId="0" borderId="122" xfId="0" applyNumberFormat="1" applyFont="1" applyFill="1" applyBorder="1" applyAlignment="1" applyProtection="1">
      <alignment horizontal="left"/>
    </xf>
    <xf numFmtId="0" fontId="9" fillId="0" borderId="123" xfId="0" applyNumberFormat="1" applyFont="1" applyFill="1" applyBorder="1" applyAlignment="1" applyProtection="1">
      <alignment horizontal="right"/>
    </xf>
    <xf numFmtId="0" fontId="8" fillId="0" borderId="24" xfId="0" applyNumberFormat="1" applyFont="1" applyFill="1" applyBorder="1" applyAlignment="1" applyProtection="1"/>
    <xf numFmtId="4" fontId="8" fillId="0" borderId="124" xfId="0" applyNumberFormat="1" applyFont="1" applyFill="1" applyBorder="1" applyAlignment="1" applyProtection="1">
      <alignment horizontal="right"/>
    </xf>
    <xf numFmtId="44" fontId="9" fillId="0" borderId="103" xfId="2" applyFont="1" applyFill="1" applyBorder="1" applyAlignment="1" applyProtection="1"/>
    <xf numFmtId="44" fontId="9" fillId="0" borderId="106" xfId="2" applyFont="1" applyFill="1" applyBorder="1" applyAlignment="1" applyProtection="1">
      <alignment horizontal="center"/>
    </xf>
    <xf numFmtId="44" fontId="8" fillId="0" borderId="107" xfId="2" applyFont="1" applyFill="1" applyBorder="1" applyAlignment="1" applyProtection="1">
      <alignment horizontal="right"/>
    </xf>
    <xf numFmtId="44" fontId="8" fillId="0" borderId="45" xfId="2" applyFont="1" applyFill="1" applyBorder="1" applyAlignment="1" applyProtection="1">
      <alignment horizontal="center"/>
    </xf>
    <xf numFmtId="44" fontId="8" fillId="0" borderId="109" xfId="2" applyFont="1" applyFill="1" applyBorder="1" applyAlignment="1" applyProtection="1"/>
    <xf numFmtId="44" fontId="8" fillId="0" borderId="45" xfId="2" applyFont="1" applyFill="1" applyBorder="1" applyAlignment="1" applyProtection="1"/>
    <xf numFmtId="44" fontId="8" fillId="0" borderId="114" xfId="2" applyFont="1" applyFill="1" applyBorder="1" applyAlignment="1" applyProtection="1">
      <alignment horizontal="center"/>
    </xf>
    <xf numFmtId="44" fontId="8" fillId="0" borderId="109" xfId="2" applyFont="1" applyFill="1" applyBorder="1" applyAlignment="1" applyProtection="1">
      <alignment horizontal="center"/>
    </xf>
    <xf numFmtId="44" fontId="8" fillId="0" borderId="45" xfId="2" applyFont="1" applyFill="1" applyBorder="1" applyAlignment="1" applyProtection="1">
      <alignment horizontal="right"/>
    </xf>
    <xf numFmtId="44" fontId="8" fillId="0" borderId="114" xfId="2" applyFont="1" applyFill="1" applyBorder="1" applyAlignment="1" applyProtection="1"/>
    <xf numFmtId="44" fontId="8" fillId="0" borderId="118" xfId="2" applyFont="1" applyFill="1" applyBorder="1" applyAlignment="1" applyProtection="1">
      <alignment horizontal="right"/>
    </xf>
    <xf numFmtId="44" fontId="8" fillId="0" borderId="16" xfId="2" applyFont="1" applyFill="1" applyBorder="1" applyAlignment="1" applyProtection="1"/>
    <xf numFmtId="44" fontId="8" fillId="0" borderId="16" xfId="2" applyFont="1" applyFill="1" applyBorder="1" applyAlignment="1" applyProtection="1">
      <alignment horizontal="center"/>
    </xf>
    <xf numFmtId="44" fontId="8" fillId="0" borderId="122" xfId="2" applyFont="1" applyFill="1" applyBorder="1" applyAlignment="1" applyProtection="1">
      <alignment horizontal="right"/>
    </xf>
    <xf numFmtId="44" fontId="8" fillId="0" borderId="0" xfId="2" applyFont="1" applyFill="1" applyBorder="1" applyAlignment="1" applyProtection="1"/>
    <xf numFmtId="0" fontId="8" fillId="0" borderId="134" xfId="0" applyFont="1" applyBorder="1"/>
    <xf numFmtId="0" fontId="8" fillId="0" borderId="136" xfId="0" applyFont="1" applyBorder="1"/>
    <xf numFmtId="0" fontId="8" fillId="0" borderId="28" xfId="0" applyFont="1" applyBorder="1"/>
    <xf numFmtId="0" fontId="8" fillId="0" borderId="135" xfId="0" applyFont="1" applyBorder="1"/>
    <xf numFmtId="0" fontId="8" fillId="0" borderId="137" xfId="0" applyFont="1" applyBorder="1"/>
    <xf numFmtId="0" fontId="8" fillId="0" borderId="138" xfId="0" applyFont="1" applyBorder="1"/>
    <xf numFmtId="0" fontId="8" fillId="0" borderId="46" xfId="0" applyFont="1" applyBorder="1"/>
    <xf numFmtId="0" fontId="8" fillId="0" borderId="16" xfId="0" applyFont="1" applyBorder="1"/>
    <xf numFmtId="0" fontId="8" fillId="2" borderId="46" xfId="0" applyFont="1" applyFill="1" applyBorder="1"/>
    <xf numFmtId="0" fontId="8" fillId="0" borderId="42" xfId="0" applyFont="1" applyBorder="1"/>
    <xf numFmtId="0" fontId="8" fillId="0" borderId="115" xfId="0" applyFont="1" applyBorder="1"/>
    <xf numFmtId="0" fontId="8" fillId="0" borderId="114" xfId="0" applyFont="1" applyBorder="1"/>
    <xf numFmtId="0" fontId="8" fillId="0" borderId="139" xfId="0" applyFont="1" applyBorder="1"/>
    <xf numFmtId="0" fontId="15" fillId="0" borderId="88" xfId="0" applyFont="1" applyBorder="1"/>
    <xf numFmtId="0" fontId="8" fillId="0" borderId="88" xfId="0" applyFont="1" applyBorder="1"/>
    <xf numFmtId="0" fontId="8" fillId="0" borderId="140" xfId="0" applyFont="1" applyBorder="1"/>
    <xf numFmtId="0" fontId="8" fillId="3" borderId="141" xfId="0" applyFont="1" applyFill="1" applyBorder="1"/>
    <xf numFmtId="0" fontId="8" fillId="3" borderId="87" xfId="0" applyFont="1" applyFill="1" applyBorder="1"/>
    <xf numFmtId="0" fontId="8" fillId="3" borderId="140" xfId="0" applyFont="1" applyFill="1" applyBorder="1"/>
    <xf numFmtId="0" fontId="8" fillId="3" borderId="142" xfId="0" applyFont="1" applyFill="1" applyBorder="1"/>
    <xf numFmtId="0" fontId="8" fillId="0" borderId="45" xfId="0" applyNumberFormat="1" applyFont="1" applyFill="1" applyBorder="1" applyAlignment="1" applyProtection="1"/>
    <xf numFmtId="0" fontId="8" fillId="0" borderId="46" xfId="0" applyNumberFormat="1" applyFont="1" applyFill="1" applyBorder="1" applyAlignment="1" applyProtection="1"/>
    <xf numFmtId="0" fontId="8" fillId="0" borderId="107" xfId="0" applyNumberFormat="1" applyFont="1" applyFill="1" applyBorder="1" applyAlignment="1" applyProtection="1"/>
    <xf numFmtId="0" fontId="8" fillId="0" borderId="108" xfId="0" applyNumberFormat="1" applyFont="1" applyFill="1" applyBorder="1" applyAlignment="1" applyProtection="1"/>
    <xf numFmtId="0" fontId="8" fillId="0" borderId="13" xfId="0" applyFont="1" applyBorder="1"/>
    <xf numFmtId="0" fontId="8" fillId="0" borderId="2" xfId="0" applyFont="1" applyBorder="1"/>
    <xf numFmtId="0" fontId="8" fillId="0" borderId="45" xfId="0" applyFont="1" applyBorder="1"/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/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Border="1"/>
    <xf numFmtId="0" fontId="16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centerContinuous"/>
    </xf>
    <xf numFmtId="44" fontId="8" fillId="0" borderId="53" xfId="2" applyFont="1" applyBorder="1"/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2" xfId="2" applyFont="1" applyBorder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3" xfId="0" applyFont="1" applyBorder="1"/>
    <xf numFmtId="0" fontId="8" fillId="0" borderId="8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8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/>
    <xf numFmtId="0" fontId="16" fillId="0" borderId="27" xfId="0" applyFont="1" applyBorder="1" applyAlignment="1">
      <alignment horizontal="center"/>
    </xf>
    <xf numFmtId="0" fontId="16" fillId="0" borderId="19" xfId="0" applyFont="1" applyBorder="1"/>
    <xf numFmtId="0" fontId="16" fillId="0" borderId="28" xfId="0" applyFont="1" applyBorder="1"/>
    <xf numFmtId="0" fontId="16" fillId="0" borderId="1" xfId="0" applyFont="1" applyBorder="1"/>
    <xf numFmtId="0" fontId="16" fillId="0" borderId="29" xfId="0" applyFont="1" applyBorder="1"/>
    <xf numFmtId="0" fontId="16" fillId="0" borderId="47" xfId="0" applyFont="1" applyBorder="1"/>
    <xf numFmtId="0" fontId="16" fillId="0" borderId="48" xfId="0" applyFont="1" applyBorder="1"/>
    <xf numFmtId="0" fontId="16" fillId="0" borderId="19" xfId="0" applyFont="1" applyBorder="1" applyAlignment="1">
      <alignment horizontal="center"/>
    </xf>
    <xf numFmtId="0" fontId="16" fillId="0" borderId="13" xfId="0" applyFont="1" applyBorder="1"/>
    <xf numFmtId="0" fontId="16" fillId="0" borderId="16" xfId="0" applyFont="1" applyBorder="1"/>
    <xf numFmtId="0" fontId="16" fillId="0" borderId="2" xfId="0" applyFont="1" applyBorder="1"/>
    <xf numFmtId="0" fontId="16" fillId="0" borderId="17" xfId="0" applyFont="1" applyBorder="1"/>
    <xf numFmtId="0" fontId="16" fillId="0" borderId="49" xfId="0" applyFont="1" applyBorder="1"/>
    <xf numFmtId="2" fontId="16" fillId="3" borderId="13" xfId="0" applyNumberFormat="1" applyFont="1" applyFill="1" applyBorder="1"/>
    <xf numFmtId="0" fontId="16" fillId="3" borderId="17" xfId="0" applyFont="1" applyFill="1" applyBorder="1"/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3" borderId="13" xfId="0" applyFont="1" applyFill="1" applyBorder="1"/>
    <xf numFmtId="0" fontId="16" fillId="0" borderId="45" xfId="0" applyFont="1" applyBorder="1"/>
    <xf numFmtId="2" fontId="16" fillId="2" borderId="13" xfId="0" applyNumberFormat="1" applyFont="1" applyFill="1" applyBorder="1"/>
    <xf numFmtId="164" fontId="16" fillId="3" borderId="13" xfId="0" applyNumberFormat="1" applyFont="1" applyFill="1" applyBorder="1"/>
    <xf numFmtId="0" fontId="16" fillId="2" borderId="13" xfId="0" applyFont="1" applyFill="1" applyBorder="1"/>
    <xf numFmtId="0" fontId="16" fillId="2" borderId="17" xfId="0" applyFont="1" applyFill="1" applyBorder="1"/>
    <xf numFmtId="164" fontId="16" fillId="0" borderId="13" xfId="0" applyNumberFormat="1" applyFont="1" applyBorder="1"/>
    <xf numFmtId="0" fontId="16" fillId="0" borderId="46" xfId="0" applyFont="1" applyBorder="1"/>
    <xf numFmtId="2" fontId="16" fillId="0" borderId="13" xfId="0" applyNumberFormat="1" applyFont="1" applyBorder="1"/>
    <xf numFmtId="0" fontId="16" fillId="0" borderId="14" xfId="0" applyFont="1" applyBorder="1" applyAlignment="1">
      <alignment horizontal="center"/>
    </xf>
    <xf numFmtId="2" fontId="16" fillId="0" borderId="49" xfId="0" applyNumberFormat="1" applyFont="1" applyBorder="1"/>
    <xf numFmtId="0" fontId="16" fillId="0" borderId="49" xfId="0" applyFont="1" applyBorder="1" applyAlignment="1">
      <alignment horizontal="center"/>
    </xf>
    <xf numFmtId="2" fontId="16" fillId="2" borderId="49" xfId="0" applyNumberFormat="1" applyFont="1" applyFill="1" applyBorder="1"/>
    <xf numFmtId="0" fontId="16" fillId="0" borderId="45" xfId="0" applyFont="1" applyBorder="1" applyAlignment="1">
      <alignment horizontal="center"/>
    </xf>
    <xf numFmtId="0" fontId="16" fillId="0" borderId="51" xfId="0" applyFont="1" applyBorder="1"/>
    <xf numFmtId="0" fontId="16" fillId="0" borderId="23" xfId="0" applyFont="1" applyBorder="1" applyAlignment="1">
      <alignment horizontal="center"/>
    </xf>
    <xf numFmtId="0" fontId="16" fillId="0" borderId="20" xfId="0" applyFont="1" applyBorder="1"/>
    <xf numFmtId="0" fontId="16" fillId="0" borderId="24" xfId="0" applyFont="1" applyBorder="1"/>
    <xf numFmtId="0" fontId="16" fillId="0" borderId="21" xfId="0" applyFont="1" applyBorder="1"/>
    <xf numFmtId="0" fontId="16" fillId="0" borderId="25" xfId="0" applyFont="1" applyBorder="1"/>
    <xf numFmtId="2" fontId="16" fillId="2" borderId="20" xfId="0" applyNumberFormat="1" applyFont="1" applyFill="1" applyBorder="1"/>
    <xf numFmtId="0" fontId="16" fillId="0" borderId="2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0" borderId="32" xfId="0" applyFont="1" applyBorder="1"/>
    <xf numFmtId="0" fontId="8" fillId="0" borderId="58" xfId="0" applyFont="1" applyBorder="1"/>
    <xf numFmtId="0" fontId="8" fillId="0" borderId="128" xfId="0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7" xfId="0" applyFont="1" applyBorder="1"/>
    <xf numFmtId="0" fontId="8" fillId="0" borderId="130" xfId="0" applyFont="1" applyBorder="1"/>
    <xf numFmtId="0" fontId="8" fillId="0" borderId="131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2" xfId="0" applyFont="1" applyBorder="1" applyAlignment="1">
      <alignment horizontal="centerContinuous"/>
    </xf>
    <xf numFmtId="0" fontId="8" fillId="0" borderId="133" xfId="0" applyFont="1" applyBorder="1" applyAlignment="1">
      <alignment horizontal="centerContinuous"/>
    </xf>
    <xf numFmtId="0" fontId="17" fillId="0" borderId="0" xfId="0" applyFont="1" applyBorder="1"/>
    <xf numFmtId="0" fontId="9" fillId="0" borderId="88" xfId="0" applyFont="1" applyBorder="1"/>
    <xf numFmtId="164" fontId="8" fillId="0" borderId="0" xfId="0" applyNumberFormat="1" applyFont="1" applyBorder="1"/>
    <xf numFmtId="0" fontId="9" fillId="0" borderId="0" xfId="0" applyFont="1"/>
    <xf numFmtId="0" fontId="1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164" fontId="8" fillId="0" borderId="1" xfId="0" applyNumberFormat="1" applyFont="1" applyBorder="1"/>
    <xf numFmtId="0" fontId="8" fillId="0" borderId="32" xfId="0" applyFont="1" applyBorder="1"/>
    <xf numFmtId="164" fontId="8" fillId="0" borderId="32" xfId="0" applyNumberFormat="1" applyFont="1" applyBorder="1"/>
    <xf numFmtId="0" fontId="8" fillId="0" borderId="59" xfId="0" applyFont="1" applyBorder="1"/>
    <xf numFmtId="0" fontId="8" fillId="0" borderId="60" xfId="0" applyFont="1" applyBorder="1"/>
    <xf numFmtId="0" fontId="8" fillId="0" borderId="61" xfId="0" applyFont="1" applyBorder="1" applyAlignment="1">
      <alignment horizontal="centerContinuous"/>
    </xf>
    <xf numFmtId="164" fontId="8" fillId="0" borderId="11" xfId="0" applyNumberFormat="1" applyFont="1" applyBorder="1" applyAlignment="1">
      <alignment horizontal="centerContinuous"/>
    </xf>
    <xf numFmtId="0" fontId="8" fillId="0" borderId="62" xfId="0" applyFont="1" applyBorder="1" applyAlignment="1">
      <alignment horizontal="centerContinuous"/>
    </xf>
    <xf numFmtId="165" fontId="8" fillId="0" borderId="63" xfId="2" applyNumberFormat="1" applyFont="1" applyBorder="1"/>
    <xf numFmtId="0" fontId="8" fillId="0" borderId="64" xfId="0" applyFont="1" applyBorder="1"/>
    <xf numFmtId="0" fontId="8" fillId="0" borderId="5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60" xfId="0" applyFont="1" applyBorder="1" applyAlignment="1">
      <alignment horizontal="centerContinuous"/>
    </xf>
    <xf numFmtId="0" fontId="8" fillId="0" borderId="9" xfId="0" applyFont="1" applyBorder="1"/>
    <xf numFmtId="0" fontId="8" fillId="0" borderId="3" xfId="0" applyFont="1" applyBorder="1" applyAlignment="1">
      <alignment horizontal="centerContinuous"/>
    </xf>
    <xf numFmtId="0" fontId="8" fillId="0" borderId="61" xfId="0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5" fontId="8" fillId="0" borderId="63" xfId="2" applyNumberFormat="1" applyFont="1" applyBorder="1" applyAlignment="1">
      <alignment horizontal="center"/>
    </xf>
    <xf numFmtId="0" fontId="8" fillId="0" borderId="66" xfId="0" applyFont="1" applyBorder="1" applyAlignment="1">
      <alignment horizontal="centerContinuous"/>
    </xf>
    <xf numFmtId="0" fontId="8" fillId="0" borderId="67" xfId="0" applyFont="1" applyBorder="1" applyAlignment="1">
      <alignment horizontal="centerContinuous"/>
    </xf>
    <xf numFmtId="0" fontId="8" fillId="0" borderId="68" xfId="0" applyFont="1" applyBorder="1" applyAlignment="1">
      <alignment horizontal="centerContinuous"/>
    </xf>
    <xf numFmtId="0" fontId="9" fillId="0" borderId="69" xfId="0" applyFont="1" applyBorder="1" applyAlignment="1">
      <alignment horizontal="centerContinuous"/>
    </xf>
    <xf numFmtId="0" fontId="8" fillId="0" borderId="70" xfId="0" applyFont="1" applyBorder="1"/>
    <xf numFmtId="0" fontId="8" fillId="0" borderId="68" xfId="0" applyFont="1" applyBorder="1" applyAlignment="1">
      <alignment horizontal="center"/>
    </xf>
    <xf numFmtId="0" fontId="8" fillId="0" borderId="70" xfId="0" applyFont="1" applyBorder="1" applyAlignment="1">
      <alignment textRotation="90"/>
    </xf>
    <xf numFmtId="0" fontId="8" fillId="0" borderId="71" xfId="0" applyFont="1" applyBorder="1" applyAlignment="1">
      <alignment horizontal="center"/>
    </xf>
    <xf numFmtId="0" fontId="8" fillId="0" borderId="70" xfId="0" applyFont="1" applyBorder="1" applyAlignment="1">
      <alignment horizontal="centerContinuous"/>
    </xf>
    <xf numFmtId="0" fontId="8" fillId="0" borderId="70" xfId="0" applyFont="1" applyBorder="1" applyAlignment="1">
      <alignment horizontal="center"/>
    </xf>
    <xf numFmtId="164" fontId="8" fillId="0" borderId="70" xfId="0" applyNumberFormat="1" applyFont="1" applyBorder="1" applyAlignment="1">
      <alignment horizontal="center"/>
    </xf>
    <xf numFmtId="165" fontId="8" fillId="0" borderId="72" xfId="2" applyNumberFormat="1" applyFont="1" applyBorder="1" applyAlignment="1">
      <alignment horizontal="center"/>
    </xf>
    <xf numFmtId="0" fontId="8" fillId="0" borderId="73" xfId="0" applyFont="1" applyBorder="1" applyAlignment="1">
      <alignment textRotation="90"/>
    </xf>
    <xf numFmtId="0" fontId="15" fillId="0" borderId="74" xfId="0" applyFont="1" applyBorder="1"/>
    <xf numFmtId="0" fontId="8" fillId="0" borderId="75" xfId="0" applyFont="1" applyBorder="1"/>
    <xf numFmtId="0" fontId="9" fillId="0" borderId="76" xfId="0" applyFont="1" applyBorder="1"/>
    <xf numFmtId="0" fontId="8" fillId="0" borderId="77" xfId="0" applyFont="1" applyBorder="1"/>
    <xf numFmtId="0" fontId="8" fillId="0" borderId="78" xfId="0" applyFont="1" applyBorder="1"/>
    <xf numFmtId="0" fontId="8" fillId="0" borderId="79" xfId="0" applyFont="1" applyBorder="1" applyAlignment="1">
      <alignment horizontal="center"/>
    </xf>
    <xf numFmtId="0" fontId="8" fillId="0" borderId="80" xfId="0" applyFont="1" applyBorder="1"/>
    <xf numFmtId="164" fontId="8" fillId="0" borderId="77" xfId="0" applyNumberFormat="1" applyFont="1" applyBorder="1"/>
    <xf numFmtId="0" fontId="8" fillId="0" borderId="79" xfId="0" applyFont="1" applyBorder="1"/>
    <xf numFmtId="0" fontId="8" fillId="0" borderId="80" xfId="0" applyFont="1" applyBorder="1" applyAlignment="1">
      <alignment horizontal="center"/>
    </xf>
    <xf numFmtId="165" fontId="8" fillId="0" borderId="79" xfId="2" applyNumberFormat="1" applyFont="1" applyBorder="1" applyAlignment="1">
      <alignment horizontal="center"/>
    </xf>
    <xf numFmtId="0" fontId="8" fillId="0" borderId="81" xfId="0" applyFont="1" applyBorder="1"/>
    <xf numFmtId="0" fontId="8" fillId="0" borderId="82" xfId="0" applyFont="1" applyBorder="1"/>
    <xf numFmtId="0" fontId="9" fillId="0" borderId="46" xfId="0" applyFont="1" applyBorder="1"/>
    <xf numFmtId="2" fontId="8" fillId="0" borderId="16" xfId="0" applyNumberFormat="1" applyFont="1" applyBorder="1"/>
    <xf numFmtId="0" fontId="8" fillId="0" borderId="57" xfId="0" applyFont="1" applyBorder="1"/>
    <xf numFmtId="0" fontId="8" fillId="0" borderId="83" xfId="0" applyFont="1" applyBorder="1" applyAlignment="1">
      <alignment horizontal="center"/>
    </xf>
    <xf numFmtId="0" fontId="8" fillId="0" borderId="56" xfId="0" applyFont="1" applyBorder="1"/>
    <xf numFmtId="164" fontId="8" fillId="0" borderId="16" xfId="0" applyNumberFormat="1" applyFont="1" applyBorder="1"/>
    <xf numFmtId="0" fontId="8" fillId="0" borderId="83" xfId="0" applyFont="1" applyBorder="1"/>
    <xf numFmtId="0" fontId="8" fillId="0" borderId="56" xfId="0" applyFont="1" applyBorder="1" applyAlignment="1">
      <alignment horizontal="center"/>
    </xf>
    <xf numFmtId="165" fontId="8" fillId="0" borderId="55" xfId="2" applyNumberFormat="1" applyFont="1" applyBorder="1" applyAlignment="1">
      <alignment horizontal="center"/>
    </xf>
    <xf numFmtId="0" fontId="8" fillId="0" borderId="84" xfId="0" applyFont="1" applyBorder="1"/>
    <xf numFmtId="0" fontId="8" fillId="0" borderId="85" xfId="0" applyFont="1" applyBorder="1"/>
    <xf numFmtId="164" fontId="8" fillId="0" borderId="85" xfId="0" applyNumberFormat="1" applyFont="1" applyBorder="1"/>
    <xf numFmtId="0" fontId="15" fillId="0" borderId="82" xfId="0" applyFont="1" applyBorder="1"/>
    <xf numFmtId="2" fontId="8" fillId="0" borderId="83" xfId="0" applyNumberFormat="1" applyFont="1" applyBorder="1"/>
    <xf numFmtId="0" fontId="8" fillId="0" borderId="86" xfId="0" applyFont="1" applyBorder="1"/>
    <xf numFmtId="0" fontId="9" fillId="0" borderId="87" xfId="0" applyFont="1" applyBorder="1"/>
    <xf numFmtId="0" fontId="8" fillId="0" borderId="89" xfId="0" applyFont="1" applyBorder="1"/>
    <xf numFmtId="0" fontId="8" fillId="0" borderId="90" xfId="0" applyFont="1" applyBorder="1" applyAlignment="1">
      <alignment horizontal="center"/>
    </xf>
    <xf numFmtId="0" fontId="8" fillId="0" borderId="91" xfId="0" applyFont="1" applyBorder="1"/>
    <xf numFmtId="164" fontId="8" fillId="0" borderId="88" xfId="0" applyNumberFormat="1" applyFont="1" applyBorder="1"/>
    <xf numFmtId="0" fontId="8" fillId="0" borderId="90" xfId="0" applyFont="1" applyBorder="1"/>
    <xf numFmtId="0" fontId="8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165" fontId="8" fillId="0" borderId="93" xfId="2" applyNumberFormat="1" applyFont="1" applyBorder="1" applyAlignment="1">
      <alignment horizontal="center"/>
    </xf>
    <xf numFmtId="0" fontId="8" fillId="0" borderId="94" xfId="0" applyFont="1" applyBorder="1"/>
    <xf numFmtId="0" fontId="8" fillId="4" borderId="95" xfId="0" applyFont="1" applyFill="1" applyBorder="1"/>
    <xf numFmtId="0" fontId="8" fillId="4" borderId="32" xfId="0" applyFont="1" applyFill="1" applyBorder="1"/>
    <xf numFmtId="0" fontId="9" fillId="4" borderId="32" xfId="0" applyFont="1" applyFill="1" applyBorder="1"/>
    <xf numFmtId="0" fontId="8" fillId="4" borderId="30" xfId="0" applyFont="1" applyFill="1" applyBorder="1"/>
    <xf numFmtId="0" fontId="8" fillId="0" borderId="96" xfId="0" applyFont="1" applyFill="1" applyBorder="1" applyAlignment="1">
      <alignment horizontal="right"/>
    </xf>
    <xf numFmtId="0" fontId="8" fillId="4" borderId="97" xfId="0" applyFont="1" applyFill="1" applyBorder="1" applyAlignment="1">
      <alignment horizontal="right"/>
    </xf>
    <xf numFmtId="0" fontId="8" fillId="4" borderId="98" xfId="0" applyFont="1" applyFill="1" applyBorder="1" applyAlignment="1">
      <alignment horizontal="right"/>
    </xf>
    <xf numFmtId="164" fontId="8" fillId="4" borderId="99" xfId="0" applyNumberFormat="1" applyFont="1" applyFill="1" applyBorder="1" applyAlignment="1">
      <alignment horizontal="right"/>
    </xf>
    <xf numFmtId="0" fontId="8" fillId="0" borderId="100" xfId="0" applyFont="1" applyFill="1" applyBorder="1" applyAlignment="1">
      <alignment horizontal="right"/>
    </xf>
    <xf numFmtId="165" fontId="8" fillId="0" borderId="96" xfId="2" applyNumberFormat="1" applyFont="1" applyFill="1" applyBorder="1" applyAlignment="1">
      <alignment horizontal="right"/>
    </xf>
    <xf numFmtId="0" fontId="8" fillId="0" borderId="101" xfId="0" applyFont="1" applyFill="1" applyBorder="1"/>
    <xf numFmtId="0" fontId="8" fillId="0" borderId="102" xfId="0" applyFont="1" applyFill="1" applyBorder="1"/>
    <xf numFmtId="0" fontId="17" fillId="0" borderId="0" xfId="0" applyFont="1"/>
    <xf numFmtId="1" fontId="16" fillId="0" borderId="0" xfId="0" applyNumberFormat="1" applyFont="1"/>
    <xf numFmtId="9" fontId="16" fillId="0" borderId="0" xfId="0" applyNumberFormat="1" applyFont="1"/>
    <xf numFmtId="165" fontId="16" fillId="0" borderId="0" xfId="2" applyNumberFormat="1" applyFont="1"/>
    <xf numFmtId="0" fontId="8" fillId="0" borderId="63" xfId="0" applyFont="1" applyBorder="1"/>
    <xf numFmtId="0" fontId="8" fillId="0" borderId="63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1" fontId="8" fillId="0" borderId="16" xfId="0" applyNumberFormat="1" applyFont="1" applyBorder="1"/>
    <xf numFmtId="2" fontId="8" fillId="0" borderId="55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164" fontId="17" fillId="3" borderId="13" xfId="0" applyNumberFormat="1" applyFont="1" applyFill="1" applyBorder="1"/>
    <xf numFmtId="0" fontId="17" fillId="3" borderId="17" xfId="0" applyFont="1" applyFill="1" applyBorder="1"/>
    <xf numFmtId="164" fontId="16" fillId="2" borderId="13" xfId="0" applyNumberFormat="1" applyFont="1" applyFill="1" applyBorder="1"/>
    <xf numFmtId="0" fontId="16" fillId="0" borderId="37" xfId="0" applyFont="1" applyFill="1" applyBorder="1"/>
    <xf numFmtId="2" fontId="16" fillId="0" borderId="2" xfId="0" applyNumberFormat="1" applyFont="1" applyBorder="1"/>
    <xf numFmtId="1" fontId="16" fillId="0" borderId="13" xfId="0" applyNumberFormat="1" applyFont="1" applyBorder="1"/>
    <xf numFmtId="0" fontId="16" fillId="0" borderId="37" xfId="0" applyFont="1" applyBorder="1"/>
    <xf numFmtId="0" fontId="16" fillId="0" borderId="38" xfId="0" applyFont="1" applyBorder="1"/>
    <xf numFmtId="2" fontId="16" fillId="0" borderId="16" xfId="0" applyNumberFormat="1" applyFont="1" applyBorder="1"/>
    <xf numFmtId="2" fontId="16" fillId="0" borderId="18" xfId="0" applyNumberFormat="1" applyFont="1" applyBorder="1"/>
    <xf numFmtId="2" fontId="17" fillId="3" borderId="13" xfId="0" applyNumberFormat="1" applyFont="1" applyFill="1" applyBorder="1"/>
    <xf numFmtId="2" fontId="17" fillId="3" borderId="20" xfId="0" applyNumberFormat="1" applyFont="1" applyFill="1" applyBorder="1"/>
    <xf numFmtId="0" fontId="8" fillId="0" borderId="5" xfId="0" applyFont="1" applyBorder="1"/>
    <xf numFmtId="0" fontId="8" fillId="0" borderId="31" xfId="0" applyFont="1" applyBorder="1" applyAlignment="1">
      <alignment horizontal="centerContinuous"/>
    </xf>
    <xf numFmtId="0" fontId="16" fillId="0" borderId="32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16" fillId="0" borderId="33" xfId="0" applyFont="1" applyBorder="1"/>
    <xf numFmtId="0" fontId="16" fillId="2" borderId="0" xfId="0" applyFont="1" applyFill="1"/>
    <xf numFmtId="0" fontId="16" fillId="3" borderId="0" xfId="0" applyFont="1" applyFill="1"/>
    <xf numFmtId="0" fontId="16" fillId="0" borderId="18" xfId="0" applyFont="1" applyBorder="1"/>
    <xf numFmtId="2" fontId="16" fillId="0" borderId="37" xfId="0" applyNumberFormat="1" applyFont="1" applyBorder="1"/>
    <xf numFmtId="1" fontId="8" fillId="0" borderId="83" xfId="0" applyNumberFormat="1" applyFont="1" applyBorder="1" applyAlignment="1">
      <alignment horizontal="center"/>
    </xf>
    <xf numFmtId="0" fontId="18" fillId="0" borderId="56" xfId="3" applyFont="1" applyBorder="1"/>
    <xf numFmtId="0" fontId="8" fillId="0" borderId="63" xfId="0" applyFont="1" applyFill="1" applyBorder="1" applyAlignment="1">
      <alignment horizontal="center"/>
    </xf>
    <xf numFmtId="1" fontId="16" fillId="3" borderId="13" xfId="0" applyNumberFormat="1" applyFont="1" applyFill="1" applyBorder="1"/>
    <xf numFmtId="1" fontId="16" fillId="0" borderId="46" xfId="0" applyNumberFormat="1" applyFont="1" applyBorder="1"/>
    <xf numFmtId="1" fontId="16" fillId="0" borderId="49" xfId="0" applyNumberFormat="1" applyFont="1" applyBorder="1"/>
    <xf numFmtId="0" fontId="8" fillId="3" borderId="13" xfId="0" applyFont="1" applyFill="1" applyBorder="1"/>
    <xf numFmtId="1" fontId="16" fillId="2" borderId="13" xfId="0" applyNumberFormat="1" applyFont="1" applyFill="1" applyBorder="1"/>
    <xf numFmtId="1" fontId="16" fillId="3" borderId="49" xfId="0" applyNumberFormat="1" applyFont="1" applyFill="1" applyBorder="1"/>
    <xf numFmtId="164" fontId="8" fillId="0" borderId="56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16" fillId="0" borderId="47" xfId="0" applyFont="1" applyBorder="1" applyAlignment="1">
      <alignment horizontal="right"/>
    </xf>
    <xf numFmtId="0" fontId="16" fillId="0" borderId="49" xfId="0" applyFont="1" applyBorder="1" applyAlignment="1">
      <alignment horizontal="right"/>
    </xf>
    <xf numFmtId="1" fontId="16" fillId="0" borderId="49" xfId="0" applyNumberFormat="1" applyFont="1" applyBorder="1" applyAlignment="1">
      <alignment horizontal="right"/>
    </xf>
    <xf numFmtId="1" fontId="16" fillId="0" borderId="46" xfId="0" applyNumberFormat="1" applyFont="1" applyBorder="1" applyAlignment="1">
      <alignment horizontal="right"/>
    </xf>
    <xf numFmtId="0" fontId="16" fillId="0" borderId="14" xfId="0" applyFont="1" applyBorder="1"/>
    <xf numFmtId="2" fontId="16" fillId="0" borderId="49" xfId="0" applyNumberFormat="1" applyFont="1" applyBorder="1" applyAlignment="1">
      <alignment horizontal="right"/>
    </xf>
    <xf numFmtId="0" fontId="16" fillId="0" borderId="51" xfId="0" applyFont="1" applyBorder="1" applyAlignment="1">
      <alignment horizontal="right"/>
    </xf>
    <xf numFmtId="0" fontId="16" fillId="0" borderId="46" xfId="0" applyFont="1" applyBorder="1" applyAlignment="1">
      <alignment horizontal="right"/>
    </xf>
    <xf numFmtId="164" fontId="16" fillId="0" borderId="14" xfId="0" applyNumberFormat="1" applyFont="1" applyBorder="1"/>
    <xf numFmtId="0" fontId="16" fillId="0" borderId="0" xfId="0" applyFont="1" applyAlignment="1">
      <alignment horizontal="right"/>
    </xf>
    <xf numFmtId="166" fontId="8" fillId="0" borderId="16" xfId="0" applyNumberFormat="1" applyFont="1" applyBorder="1"/>
    <xf numFmtId="0" fontId="8" fillId="0" borderId="69" xfId="0" applyFont="1" applyBorder="1" applyAlignment="1">
      <alignment horizontal="centerContinuous"/>
    </xf>
    <xf numFmtId="0" fontId="8" fillId="0" borderId="76" xfId="0" applyFont="1" applyBorder="1"/>
    <xf numFmtId="0" fontId="8" fillId="0" borderId="87" xfId="0" applyFont="1" applyBorder="1"/>
    <xf numFmtId="3" fontId="9" fillId="0" borderId="121" xfId="0" applyNumberFormat="1" applyFont="1" applyFill="1" applyBorder="1" applyAlignment="1" applyProtection="1">
      <alignment horizontal="right"/>
    </xf>
    <xf numFmtId="0" fontId="4" fillId="0" borderId="1" xfId="0" applyFont="1" applyBorder="1"/>
    <xf numFmtId="0" fontId="0" fillId="0" borderId="13" xfId="0" applyBorder="1"/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left"/>
    </xf>
    <xf numFmtId="0" fontId="0" fillId="0" borderId="19" xfId="0" applyBorder="1"/>
    <xf numFmtId="0" fontId="0" fillId="0" borderId="1" xfId="0" applyBorder="1"/>
    <xf numFmtId="0" fontId="8" fillId="0" borderId="2" xfId="0" applyFont="1" applyBorder="1"/>
    <xf numFmtId="0" fontId="8" fillId="0" borderId="13" xfId="0" applyFont="1" applyBorder="1" applyAlignment="1">
      <alignment horizontal="center"/>
    </xf>
    <xf numFmtId="3" fontId="8" fillId="0" borderId="0" xfId="0" applyNumberFormat="1" applyFont="1" applyFill="1" applyBorder="1" applyAlignment="1" applyProtection="1"/>
    <xf numFmtId="167" fontId="8" fillId="0" borderId="0" xfId="0" applyNumberFormat="1" applyFont="1" applyFill="1" applyBorder="1" applyAlignment="1" applyProtection="1"/>
    <xf numFmtId="0" fontId="21" fillId="0" borderId="144" xfId="6" applyFont="1" applyBorder="1" applyAlignment="1">
      <alignment horizontal="centerContinuous"/>
    </xf>
    <xf numFmtId="0" fontId="21" fillId="0" borderId="144" xfId="6" applyFont="1" applyBorder="1" applyAlignment="1">
      <alignment horizontal="center"/>
    </xf>
    <xf numFmtId="0" fontId="21" fillId="0" borderId="144" xfId="6" applyFont="1" applyBorder="1"/>
    <xf numFmtId="168" fontId="21" fillId="0" borderId="144" xfId="6" applyNumberFormat="1" applyFont="1" applyBorder="1" applyAlignment="1">
      <alignment horizontal="center"/>
    </xf>
    <xf numFmtId="168" fontId="19" fillId="0" borderId="0" xfId="0" applyNumberFormat="1" applyFont="1"/>
    <xf numFmtId="0" fontId="0" fillId="0" borderId="13" xfId="0" applyBorder="1"/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left"/>
    </xf>
    <xf numFmtId="0" fontId="0" fillId="0" borderId="19" xfId="0" applyBorder="1"/>
    <xf numFmtId="0" fontId="0" fillId="0" borderId="1" xfId="0" applyBorder="1"/>
    <xf numFmtId="0" fontId="4" fillId="0" borderId="1" xfId="0" applyFont="1" applyBorder="1"/>
    <xf numFmtId="0" fontId="16" fillId="0" borderId="0" xfId="0" applyFo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6" fillId="0" borderId="16" xfId="0" applyNumberFormat="1" applyFont="1" applyBorder="1"/>
    <xf numFmtId="9" fontId="0" fillId="0" borderId="0" xfId="0" applyNumberFormat="1"/>
    <xf numFmtId="14" fontId="4" fillId="0" borderId="2" xfId="0" applyNumberFormat="1" applyFont="1" applyBorder="1"/>
    <xf numFmtId="0" fontId="14" fillId="0" borderId="15" xfId="3" applyBorder="1" applyAlignment="1">
      <alignment horizontal="center"/>
    </xf>
    <xf numFmtId="0" fontId="14" fillId="0" borderId="14" xfId="3" applyBorder="1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14" fillId="0" borderId="27" xfId="3" applyBorder="1" applyAlignment="1">
      <alignment horizontal="center"/>
    </xf>
    <xf numFmtId="0" fontId="14" fillId="0" borderId="49" xfId="3" applyBorder="1" applyAlignment="1">
      <alignment horizontal="center"/>
    </xf>
    <xf numFmtId="0" fontId="14" fillId="0" borderId="13" xfId="3" applyBorder="1" applyAlignment="1">
      <alignment horizontal="center"/>
    </xf>
    <xf numFmtId="0" fontId="16" fillId="3" borderId="13" xfId="0" applyFont="1" applyFill="1" applyBorder="1" applyAlignment="1">
      <alignment horizontal="left"/>
    </xf>
    <xf numFmtId="0" fontId="16" fillId="3" borderId="45" xfId="0" applyFont="1" applyFill="1" applyBorder="1"/>
    <xf numFmtId="0" fontId="0" fillId="0" borderId="2" xfId="0" applyBorder="1" applyAlignment="1">
      <alignment horizontal="center"/>
    </xf>
    <xf numFmtId="0" fontId="14" fillId="0" borderId="2" xfId="3" applyBorder="1" applyAlignment="1">
      <alignment horizontal="center"/>
    </xf>
    <xf numFmtId="0" fontId="14" fillId="0" borderId="16" xfId="3" applyBorder="1"/>
    <xf numFmtId="0" fontId="14" fillId="0" borderId="47" xfId="3" applyNumberFormat="1" applyFill="1" applyBorder="1" applyAlignment="1" applyProtection="1">
      <alignment horizontal="center"/>
    </xf>
    <xf numFmtId="0" fontId="14" fillId="0" borderId="49" xfId="3" applyNumberForma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Border="1"/>
    <xf numFmtId="0" fontId="19" fillId="0" borderId="0" xfId="0" applyFont="1" applyAlignment="1">
      <alignment horizontal="center"/>
    </xf>
    <xf numFmtId="0" fontId="14" fillId="0" borderId="0" xfId="3" applyNumberFormat="1" applyFill="1" applyBorder="1" applyAlignment="1" applyProtection="1">
      <alignment horizontal="right"/>
    </xf>
    <xf numFmtId="0" fontId="16" fillId="0" borderId="14" xfId="0" applyFont="1" applyBorder="1" applyAlignment="1">
      <alignment horizontal="center"/>
    </xf>
    <xf numFmtId="0" fontId="6" fillId="0" borderId="59" xfId="0" applyFont="1" applyBorder="1" applyAlignment="1">
      <alignment horizontal="centerContinuous"/>
    </xf>
    <xf numFmtId="0" fontId="22" fillId="0" borderId="144" xfId="3" applyFont="1" applyBorder="1" applyAlignment="1">
      <alignment horizontal="left"/>
    </xf>
    <xf numFmtId="0" fontId="23" fillId="0" borderId="144" xfId="0" applyFont="1" applyBorder="1" applyAlignment="1">
      <alignment horizontal="left"/>
    </xf>
    <xf numFmtId="0" fontId="24" fillId="0" borderId="144" xfId="0" applyFont="1" applyBorder="1"/>
    <xf numFmtId="0" fontId="22" fillId="0" borderId="144" xfId="3" applyFont="1" applyBorder="1"/>
    <xf numFmtId="0" fontId="23" fillId="0" borderId="144" xfId="0" applyFont="1" applyBorder="1"/>
    <xf numFmtId="0" fontId="4" fillId="0" borderId="1" xfId="0" applyFont="1" applyBorder="1"/>
    <xf numFmtId="0" fontId="6" fillId="0" borderId="31" xfId="0" applyFont="1" applyFill="1" applyBorder="1"/>
    <xf numFmtId="0" fontId="6" fillId="0" borderId="32" xfId="0" applyFont="1" applyFill="1" applyBorder="1"/>
    <xf numFmtId="0" fontId="6" fillId="0" borderId="33" xfId="0" applyFont="1" applyFill="1" applyBorder="1"/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0" fillId="0" borderId="19" xfId="0" applyBorder="1"/>
    <xf numFmtId="0" fontId="0" fillId="0" borderId="1" xfId="0" applyBorder="1"/>
    <xf numFmtId="0" fontId="0" fillId="0" borderId="26" xfId="0" applyBorder="1"/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9" fillId="0" borderId="0" xfId="0" applyFont="1" applyAlignment="1">
      <alignment horizontal="center"/>
    </xf>
    <xf numFmtId="0" fontId="16" fillId="0" borderId="144" xfId="0" applyFont="1" applyBorder="1"/>
    <xf numFmtId="0" fontId="16" fillId="0" borderId="144" xfId="0" applyFont="1" applyBorder="1" applyAlignment="1"/>
    <xf numFmtId="0" fontId="14" fillId="0" borderId="0" xfId="3" applyNumberFormat="1" applyFill="1" applyBorder="1" applyAlignment="1" applyProtection="1">
      <alignment horizontal="right"/>
    </xf>
    <xf numFmtId="0" fontId="17" fillId="0" borderId="144" xfId="0" applyFont="1" applyBorder="1"/>
    <xf numFmtId="0" fontId="8" fillId="0" borderId="45" xfId="0" applyNumberFormat="1" applyFont="1" applyFill="1" applyBorder="1" applyAlignment="1" applyProtection="1"/>
    <xf numFmtId="0" fontId="8" fillId="0" borderId="46" xfId="0" applyNumberFormat="1" applyFont="1" applyFill="1" applyBorder="1" applyAlignment="1" applyProtection="1"/>
    <xf numFmtId="0" fontId="8" fillId="0" borderId="140" xfId="0" applyNumberFormat="1" applyFont="1" applyFill="1" applyBorder="1" applyAlignment="1" applyProtection="1"/>
    <xf numFmtId="0" fontId="8" fillId="0" borderId="87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8" fillId="0" borderId="1" xfId="4" applyFont="1" applyBorder="1" applyAlignment="1">
      <alignment horizontal="left"/>
    </xf>
    <xf numFmtId="0" fontId="8" fillId="0" borderId="107" xfId="0" applyNumberFormat="1" applyFont="1" applyFill="1" applyBorder="1" applyAlignment="1" applyProtection="1"/>
    <xf numFmtId="0" fontId="8" fillId="0" borderId="108" xfId="0" applyNumberFormat="1" applyFont="1" applyFill="1" applyBorder="1" applyAlignment="1" applyProtection="1"/>
    <xf numFmtId="0" fontId="8" fillId="0" borderId="125" xfId="5" applyFont="1" applyBorder="1" applyAlignment="1">
      <alignment horizontal="left"/>
    </xf>
    <xf numFmtId="0" fontId="8" fillId="0" borderId="68" xfId="5" applyFont="1" applyBorder="1" applyAlignment="1">
      <alignment horizontal="left"/>
    </xf>
    <xf numFmtId="0" fontId="8" fillId="0" borderId="127" xfId="5" applyFont="1" applyBorder="1" applyAlignment="1">
      <alignment horizontal="left"/>
    </xf>
    <xf numFmtId="0" fontId="8" fillId="0" borderId="125" xfId="0" applyFont="1" applyBorder="1" applyAlignment="1">
      <alignment horizontal="left"/>
    </xf>
    <xf numFmtId="0" fontId="8" fillId="0" borderId="126" xfId="0" applyFont="1" applyBorder="1" applyAlignment="1">
      <alignment horizontal="left"/>
    </xf>
    <xf numFmtId="0" fontId="8" fillId="0" borderId="45" xfId="0" applyFont="1" applyBorder="1"/>
    <xf numFmtId="0" fontId="8" fillId="0" borderId="2" xfId="0" applyFont="1" applyBorder="1"/>
    <xf numFmtId="0" fontId="8" fillId="0" borderId="32" xfId="0" applyFont="1" applyBorder="1" applyAlignment="1">
      <alignment horizontal="left"/>
    </xf>
    <xf numFmtId="0" fontId="8" fillId="0" borderId="58" xfId="0" applyFont="1" applyBorder="1"/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141" xfId="5" applyFont="1" applyBorder="1"/>
    <xf numFmtId="0" fontId="8" fillId="0" borderId="58" xfId="5" applyFont="1" applyBorder="1"/>
    <xf numFmtId="0" fontId="8" fillId="0" borderId="143" xfId="0" applyFont="1" applyBorder="1"/>
    <xf numFmtId="0" fontId="8" fillId="0" borderId="53" xfId="0" applyFont="1" applyBorder="1"/>
    <xf numFmtId="0" fontId="9" fillId="0" borderId="45" xfId="0" applyFont="1" applyBorder="1"/>
    <xf numFmtId="0" fontId="9" fillId="0" borderId="2" xfId="0" applyFont="1" applyBorder="1"/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3" xfId="0" applyFont="1" applyBorder="1"/>
    <xf numFmtId="0" fontId="16" fillId="0" borderId="2" xfId="0" applyFont="1" applyBorder="1"/>
    <xf numFmtId="0" fontId="16" fillId="0" borderId="14" xfId="0" applyFont="1" applyBorder="1"/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19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0" fontId="8" fillId="0" borderId="31" xfId="0" applyFont="1" applyFill="1" applyBorder="1"/>
    <xf numFmtId="0" fontId="8" fillId="0" borderId="32" xfId="0" applyFont="1" applyFill="1" applyBorder="1"/>
    <xf numFmtId="0" fontId="8" fillId="0" borderId="33" xfId="0" applyFont="1" applyFill="1" applyBorder="1"/>
    <xf numFmtId="0" fontId="16" fillId="0" borderId="19" xfId="0" applyFont="1" applyBorder="1"/>
    <xf numFmtId="0" fontId="16" fillId="0" borderId="1" xfId="0" applyFont="1" applyBorder="1"/>
    <xf numFmtId="0" fontId="16" fillId="0" borderId="26" xfId="0" applyFont="1" applyBorder="1"/>
    <xf numFmtId="0" fontId="8" fillId="0" borderId="1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2" xfId="0" applyFont="1" applyBorder="1"/>
    <xf numFmtId="165" fontId="8" fillId="0" borderId="1" xfId="2" applyNumberFormat="1" applyFont="1" applyBorder="1"/>
    <xf numFmtId="165" fontId="8" fillId="0" borderId="2" xfId="2" applyNumberFormat="1" applyFont="1" applyBorder="1"/>
    <xf numFmtId="165" fontId="8" fillId="0" borderId="58" xfId="2" applyNumberFormat="1" applyFont="1" applyBorder="1"/>
    <xf numFmtId="0" fontId="17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7" xfId="0" applyFont="1" applyBorder="1"/>
    <xf numFmtId="0" fontId="16" fillId="0" borderId="0" xfId="0" applyFont="1" applyBorder="1"/>
    <xf numFmtId="0" fontId="16" fillId="0" borderId="38" xfId="0" applyFont="1" applyBorder="1"/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7" xfId="0" applyFont="1" applyBorder="1"/>
    <xf numFmtId="0" fontId="17" fillId="0" borderId="0" xfId="0" applyFont="1" applyBorder="1"/>
    <xf numFmtId="0" fontId="17" fillId="0" borderId="38" xfId="0" applyFont="1" applyBorder="1"/>
    <xf numFmtId="0" fontId="17" fillId="0" borderId="13" xfId="0" applyFont="1" applyBorder="1"/>
    <xf numFmtId="0" fontId="17" fillId="0" borderId="2" xfId="0" applyFont="1" applyBorder="1"/>
    <xf numFmtId="0" fontId="17" fillId="0" borderId="14" xfId="0" applyFont="1" applyBorder="1"/>
    <xf numFmtId="0" fontId="8" fillId="0" borderId="13" xfId="0" applyFont="1" applyBorder="1"/>
    <xf numFmtId="0" fontId="8" fillId="0" borderId="14" xfId="0" applyFont="1" applyBorder="1"/>
    <xf numFmtId="0" fontId="17" fillId="0" borderId="43" xfId="0" applyFont="1" applyBorder="1"/>
    <xf numFmtId="0" fontId="17" fillId="0" borderId="44" xfId="0" applyFont="1" applyBorder="1"/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6" fillId="0" borderId="34" xfId="0" applyFont="1" applyBorder="1"/>
    <xf numFmtId="0" fontId="16" fillId="0" borderId="35" xfId="0" applyFont="1" applyBorder="1"/>
    <xf numFmtId="0" fontId="16" fillId="0" borderId="36" xfId="0" applyFont="1" applyBorder="1"/>
    <xf numFmtId="0" fontId="17" fillId="0" borderId="45" xfId="0" applyFont="1" applyBorder="1"/>
    <xf numFmtId="0" fontId="16" fillId="0" borderId="45" xfId="0" applyFont="1" applyBorder="1"/>
    <xf numFmtId="0" fontId="16" fillId="0" borderId="1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7" fillId="0" borderId="13" xfId="0" applyFont="1" applyBorder="1"/>
    <xf numFmtId="0" fontId="7" fillId="0" borderId="2" xfId="0" applyFont="1" applyBorder="1"/>
    <xf numFmtId="0" fontId="7" fillId="0" borderId="14" xfId="0" applyFont="1" applyBorder="1"/>
    <xf numFmtId="0" fontId="16" fillId="0" borderId="16" xfId="0" applyFont="1" applyBorder="1"/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42" xfId="0" applyFont="1" applyBorder="1"/>
    <xf numFmtId="0" fontId="16" fillId="0" borderId="43" xfId="0" applyFont="1" applyBorder="1"/>
    <xf numFmtId="0" fontId="16" fillId="0" borderId="44" xfId="0" applyFont="1" applyBorder="1"/>
    <xf numFmtId="0" fontId="8" fillId="0" borderId="19" xfId="0" applyFont="1" applyBorder="1"/>
    <xf numFmtId="0" fontId="8" fillId="0" borderId="26" xfId="0" applyFont="1" applyBorder="1"/>
    <xf numFmtId="0" fontId="9" fillId="0" borderId="13" xfId="0" applyFont="1" applyBorder="1"/>
    <xf numFmtId="0" fontId="9" fillId="0" borderId="14" xfId="0" applyFont="1" applyBorder="1"/>
    <xf numFmtId="3" fontId="16" fillId="0" borderId="13" xfId="0" applyNumberFormat="1" applyFont="1" applyBorder="1" applyAlignment="1">
      <alignment horizontal="left"/>
    </xf>
    <xf numFmtId="0" fontId="17" fillId="3" borderId="13" xfId="0" applyFont="1" applyFill="1" applyBorder="1"/>
    <xf numFmtId="0" fontId="17" fillId="3" borderId="2" xfId="0" applyFont="1" applyFill="1" applyBorder="1"/>
    <xf numFmtId="0" fontId="17" fillId="3" borderId="14" xfId="0" applyFont="1" applyFill="1" applyBorder="1"/>
    <xf numFmtId="0" fontId="16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2" xfId="0" applyFont="1" applyBorder="1"/>
    <xf numFmtId="0" fontId="4" fillId="0" borderId="58" xfId="0" applyFont="1" applyBorder="1"/>
    <xf numFmtId="0" fontId="16" fillId="0" borderId="46" xfId="0" applyFont="1" applyBorder="1" applyAlignment="1">
      <alignment horizontal="left"/>
    </xf>
    <xf numFmtId="0" fontId="17" fillId="0" borderId="46" xfId="0" applyFont="1" applyBorder="1" applyAlignment="1">
      <alignment horizontal="left"/>
    </xf>
  </cellXfs>
  <cellStyles count="7">
    <cellStyle name="Currency" xfId="2" builtinId="4"/>
    <cellStyle name="Hyperlink" xfId="3" builtinId="8"/>
    <cellStyle name="Normal" xfId="0" builtinId="0"/>
    <cellStyle name="Normal 2" xfId="1"/>
    <cellStyle name="Normal 3" xfId="5"/>
    <cellStyle name="Normal 4" xfId="4"/>
    <cellStyle name="Normal_CONTINUATION 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28575</xdr:rowOff>
    </xdr:from>
    <xdr:to>
      <xdr:col>2</xdr:col>
      <xdr:colOff>590550</xdr:colOff>
      <xdr:row>3</xdr:row>
      <xdr:rowOff>13832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8575"/>
          <a:ext cx="1057275" cy="556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256761</xdr:colOff>
      <xdr:row>0</xdr:row>
      <xdr:rowOff>0</xdr:rowOff>
    </xdr:from>
    <xdr:to>
      <xdr:col>1</xdr:col>
      <xdr:colOff>567773</xdr:colOff>
      <xdr:row>2</xdr:row>
      <xdr:rowOff>130383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61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600075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885825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240196</xdr:colOff>
      <xdr:row>0</xdr:row>
      <xdr:rowOff>0</xdr:rowOff>
    </xdr:from>
    <xdr:to>
      <xdr:col>1</xdr:col>
      <xdr:colOff>551208</xdr:colOff>
      <xdr:row>2</xdr:row>
      <xdr:rowOff>130383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6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923925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358588</xdr:colOff>
      <xdr:row>0</xdr:row>
      <xdr:rowOff>0</xdr:rowOff>
    </xdr:from>
    <xdr:to>
      <xdr:col>2</xdr:col>
      <xdr:colOff>72278</xdr:colOff>
      <xdr:row>2</xdr:row>
      <xdr:rowOff>139153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876300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2</xdr:col>
      <xdr:colOff>971550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66676</xdr:rowOff>
    </xdr:from>
    <xdr:to>
      <xdr:col>1</xdr:col>
      <xdr:colOff>238126</xdr:colOff>
      <xdr:row>2</xdr:row>
      <xdr:rowOff>75391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66676"/>
          <a:ext cx="685800" cy="36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2</xdr:col>
      <xdr:colOff>123825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2</xdr:col>
      <xdr:colOff>895350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324971</xdr:colOff>
      <xdr:row>0</xdr:row>
      <xdr:rowOff>0</xdr:rowOff>
    </xdr:from>
    <xdr:to>
      <xdr:col>2</xdr:col>
      <xdr:colOff>38661</xdr:colOff>
      <xdr:row>2</xdr:row>
      <xdr:rowOff>139153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1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2</xdr:col>
      <xdr:colOff>914400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771525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2</xdr:col>
      <xdr:colOff>828675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19050</xdr:rowOff>
    </xdr:from>
    <xdr:to>
      <xdr:col>2</xdr:col>
      <xdr:colOff>47625</xdr:colOff>
      <xdr:row>2</xdr:row>
      <xdr:rowOff>153160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866775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240196</xdr:colOff>
      <xdr:row>0</xdr:row>
      <xdr:rowOff>24847</xdr:rowOff>
    </xdr:from>
    <xdr:to>
      <xdr:col>1</xdr:col>
      <xdr:colOff>551208</xdr:colOff>
      <xdr:row>2</xdr:row>
      <xdr:rowOff>155230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6" y="24847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838200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1114425</xdr:colOff>
      <xdr:row>3</xdr:row>
      <xdr:rowOff>21938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362075" cy="717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85725</xdr:rowOff>
    </xdr:from>
    <xdr:to>
      <xdr:col>1</xdr:col>
      <xdr:colOff>590550</xdr:colOff>
      <xdr:row>2</xdr:row>
      <xdr:rowOff>143635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2</xdr:col>
      <xdr:colOff>838200</xdr:colOff>
      <xdr:row>2</xdr:row>
      <xdr:rowOff>143635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133350</xdr:rowOff>
    </xdr:from>
    <xdr:to>
      <xdr:col>2</xdr:col>
      <xdr:colOff>19050</xdr:colOff>
      <xdr:row>3</xdr:row>
      <xdr:rowOff>760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2</xdr:col>
      <xdr:colOff>838200</xdr:colOff>
      <xdr:row>2</xdr:row>
      <xdr:rowOff>153160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13832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57275" cy="556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38101</xdr:rowOff>
    </xdr:from>
    <xdr:to>
      <xdr:col>1</xdr:col>
      <xdr:colOff>466725</xdr:colOff>
      <xdr:row>2</xdr:row>
      <xdr:rowOff>142116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1"/>
          <a:ext cx="866775" cy="45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800100</xdr:colOff>
      <xdr:row>2</xdr:row>
      <xdr:rowOff>144142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942975" cy="49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19051</xdr:rowOff>
    </xdr:from>
    <xdr:to>
      <xdr:col>2</xdr:col>
      <xdr:colOff>819150</xdr:colOff>
      <xdr:row>2</xdr:row>
      <xdr:rowOff>143130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1"/>
          <a:ext cx="904875" cy="476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542925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600075</xdr:colOff>
      <xdr:row>2</xdr:row>
      <xdr:rowOff>134110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23925" cy="48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..\Takeoff%20Drawings\S501.png" TargetMode="External"/><Relationship Id="rId2" Type="http://schemas.openxmlformats.org/officeDocument/2006/relationships/hyperlink" Target="..\Takeoff%20Drawings\A101.png" TargetMode="External"/><Relationship Id="rId1" Type="http://schemas.openxmlformats.org/officeDocument/2006/relationships/hyperlink" Target="..\Takeoff%20Drawings\S501.png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..\Takeoff%20Drawings\S501.png" TargetMode="External"/><Relationship Id="rId2" Type="http://schemas.openxmlformats.org/officeDocument/2006/relationships/hyperlink" Target="..\Takeoff%20Drawings\S101.png" TargetMode="External"/><Relationship Id="rId1" Type="http://schemas.openxmlformats.org/officeDocument/2006/relationships/hyperlink" Target="..\Takeoff%20Drawings\A101.png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..\Takeoff%20Drawings\S501.png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..\Takeoff%20Drawings\A111.png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..\Takeoff%20Drawings\A202.png" TargetMode="External"/><Relationship Id="rId1" Type="http://schemas.openxmlformats.org/officeDocument/2006/relationships/hyperlink" Target="..\Takeoff%20Drawings\A201.png" TargetMode="External"/><Relationship Id="rId6" Type="http://schemas.openxmlformats.org/officeDocument/2006/relationships/hyperlink" Target="..\Takeoff%20Drawings\A201.png" TargetMode="External"/><Relationship Id="rId5" Type="http://schemas.openxmlformats.org/officeDocument/2006/relationships/hyperlink" Target="..\Takeoff%20Drawings\A201.png" TargetMode="External"/><Relationship Id="rId4" Type="http://schemas.openxmlformats.org/officeDocument/2006/relationships/hyperlink" Target="..\Takeoff%20Drawings\A201.png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..\Takeoff%20Drawings\I203.png" TargetMode="External"/><Relationship Id="rId13" Type="http://schemas.openxmlformats.org/officeDocument/2006/relationships/drawing" Target="../drawings/drawing13.xml"/><Relationship Id="rId3" Type="http://schemas.openxmlformats.org/officeDocument/2006/relationships/hyperlink" Target="..\Takeoff%20Drawings\S512.png" TargetMode="External"/><Relationship Id="rId7" Type="http://schemas.openxmlformats.org/officeDocument/2006/relationships/hyperlink" Target="..\Takeoff%20Drawings\S111.png" TargetMode="External"/><Relationship Id="rId12" Type="http://schemas.openxmlformats.org/officeDocument/2006/relationships/printerSettings" Target="../printerSettings/printerSettings16.bin"/><Relationship Id="rId2" Type="http://schemas.openxmlformats.org/officeDocument/2006/relationships/hyperlink" Target="..\Takeoff%20Drawings\S512.png" TargetMode="External"/><Relationship Id="rId1" Type="http://schemas.openxmlformats.org/officeDocument/2006/relationships/hyperlink" Target="..\Takeoff%20Drawings\A202.png" TargetMode="External"/><Relationship Id="rId6" Type="http://schemas.openxmlformats.org/officeDocument/2006/relationships/hyperlink" Target="..\Takeoff%20Drawings\S512.png" TargetMode="External"/><Relationship Id="rId11" Type="http://schemas.openxmlformats.org/officeDocument/2006/relationships/hyperlink" Target="..\Takeoff%20Drawings\S512.png" TargetMode="External"/><Relationship Id="rId5" Type="http://schemas.openxmlformats.org/officeDocument/2006/relationships/hyperlink" Target="..\Takeoff%20Drawings\S512.png" TargetMode="External"/><Relationship Id="rId10" Type="http://schemas.openxmlformats.org/officeDocument/2006/relationships/hyperlink" Target="..\Takeoff%20Drawings\S512.png" TargetMode="External"/><Relationship Id="rId4" Type="http://schemas.openxmlformats.org/officeDocument/2006/relationships/hyperlink" Target="..\Takeoff%20Drawings\S101.png" TargetMode="External"/><Relationship Id="rId9" Type="http://schemas.openxmlformats.org/officeDocument/2006/relationships/hyperlink" Target="..\Takeoff%20Drawings\I203.png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hyperlink" Target="..\Takeoff%20Drawings\S111%20(2).png" TargetMode="External"/><Relationship Id="rId7" Type="http://schemas.openxmlformats.org/officeDocument/2006/relationships/printerSettings" Target="../printerSettings/printerSettings18.bin"/><Relationship Id="rId2" Type="http://schemas.openxmlformats.org/officeDocument/2006/relationships/hyperlink" Target="..\Takeoff%20Drawings\S112.png" TargetMode="External"/><Relationship Id="rId1" Type="http://schemas.openxmlformats.org/officeDocument/2006/relationships/hyperlink" Target="..\Takeoff%20Drawings\S111.png" TargetMode="External"/><Relationship Id="rId6" Type="http://schemas.openxmlformats.org/officeDocument/2006/relationships/hyperlink" Target="..\Takeoff%20Drawings\I205.png" TargetMode="External"/><Relationship Id="rId5" Type="http://schemas.openxmlformats.org/officeDocument/2006/relationships/hyperlink" Target="..\Takeoff%20Drawings\I203.png" TargetMode="External"/><Relationship Id="rId4" Type="http://schemas.openxmlformats.org/officeDocument/2006/relationships/hyperlink" Target="..\Takeoff%20Drawings\A202.png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..\Takeoff%20Drawings\A601.png" TargetMode="External"/><Relationship Id="rId7" Type="http://schemas.openxmlformats.org/officeDocument/2006/relationships/drawing" Target="../drawings/drawing17.xml"/><Relationship Id="rId2" Type="http://schemas.openxmlformats.org/officeDocument/2006/relationships/hyperlink" Target="..\Takeoff%20Drawings\A121.png" TargetMode="External"/><Relationship Id="rId1" Type="http://schemas.openxmlformats.org/officeDocument/2006/relationships/hyperlink" Target="..\Takeoff%20Drawings\A201.png" TargetMode="External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..\Takeoff%20Drawings\A201.png" TargetMode="External"/><Relationship Id="rId4" Type="http://schemas.openxmlformats.org/officeDocument/2006/relationships/hyperlink" Target="..\Takeoff%20Drawings\I201.png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..\Takeoff%20Drawings\A201.png" TargetMode="External"/><Relationship Id="rId1" Type="http://schemas.openxmlformats.org/officeDocument/2006/relationships/hyperlink" Target="..\Takeoff%20Drawings\A601.png" TargetMode="External"/><Relationship Id="rId4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2.xml"/><Relationship Id="rId3" Type="http://schemas.openxmlformats.org/officeDocument/2006/relationships/hyperlink" Target="..\Takeoff%20Drawings\A111%20(2).png" TargetMode="External"/><Relationship Id="rId7" Type="http://schemas.openxmlformats.org/officeDocument/2006/relationships/printerSettings" Target="../printerSettings/printerSettings25.bin"/><Relationship Id="rId2" Type="http://schemas.openxmlformats.org/officeDocument/2006/relationships/hyperlink" Target="..\Takeoff%20Drawings\I201.png" TargetMode="External"/><Relationship Id="rId1" Type="http://schemas.openxmlformats.org/officeDocument/2006/relationships/hyperlink" Target="..\Takeoff%20Drawings\A101.png" TargetMode="External"/><Relationship Id="rId6" Type="http://schemas.openxmlformats.org/officeDocument/2006/relationships/hyperlink" Target="..\Takeoff%20Drawings\A202%20(2).png" TargetMode="External"/><Relationship Id="rId5" Type="http://schemas.openxmlformats.org/officeDocument/2006/relationships/hyperlink" Target="..\Takeoff%20Drawings\I207.png" TargetMode="External"/><Relationship Id="rId4" Type="http://schemas.openxmlformats.org/officeDocument/2006/relationships/hyperlink" Target="..\Takeoff%20Drawings\I201.png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..\Takeoff%20Drawings\A401.png" TargetMode="External"/><Relationship Id="rId1" Type="http://schemas.openxmlformats.org/officeDocument/2006/relationships/hyperlink" Target="..\Takeoff%20Drawings\A401.png" TargetMode="External"/><Relationship Id="rId4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..\Takeoff%20Drawings\A101.png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..\Takeoff%20Drawings\A101.png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..\Takeoff%20Drawings\EC1.1.png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..\Takeoff%20Drawings\EC1.1.png" TargetMode="External"/><Relationship Id="rId1" Type="http://schemas.openxmlformats.org/officeDocument/2006/relationships/hyperlink" Target="..\Takeoff%20Drawings\EC1.1.png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..\Takeoff%20Drawings\C2.1.png" TargetMode="External"/><Relationship Id="rId4" Type="http://schemas.openxmlformats.org/officeDocument/2006/relationships/hyperlink" Target="..\Takeoff%20Drawings\EC1.1.png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28"/>
  <sheetViews>
    <sheetView workbookViewId="0">
      <selection sqref="A1:XFD1048576"/>
    </sheetView>
  </sheetViews>
  <sheetFormatPr defaultRowHeight="15" x14ac:dyDescent="0.25"/>
  <cols>
    <col min="1" max="2" width="2.7109375" style="194" customWidth="1"/>
    <col min="3" max="3" width="15.85546875" style="194" customWidth="1"/>
    <col min="4" max="4" width="3.7109375" style="194" customWidth="1"/>
    <col min="5" max="5" width="6.7109375" style="194" customWidth="1"/>
    <col min="6" max="6" width="2.7109375" style="194" customWidth="1"/>
    <col min="7" max="8" width="6.7109375" style="194" customWidth="1"/>
    <col min="9" max="13" width="5.7109375" style="194" customWidth="1"/>
    <col min="14" max="14" width="3.140625" style="194" bestFit="1" customWidth="1"/>
    <col min="15" max="15" width="5.7109375" style="194" customWidth="1"/>
    <col min="16" max="16" width="6.7109375" style="194" customWidth="1"/>
    <col min="17" max="17" width="7.7109375" style="194" customWidth="1"/>
    <col min="18" max="18" width="5.7109375" style="194" customWidth="1"/>
    <col min="19" max="19" width="6.7109375" style="194" customWidth="1"/>
    <col min="20" max="20" width="7.7109375" style="194" customWidth="1"/>
    <col min="21" max="21" width="5.7109375" style="194" customWidth="1"/>
    <col min="22" max="22" width="2.7109375" style="194" customWidth="1"/>
    <col min="23" max="24" width="9.140625" style="194"/>
    <col min="25" max="25" width="13.42578125" style="194" customWidth="1"/>
    <col min="26" max="256" width="9.140625" style="194"/>
    <col min="257" max="258" width="2.7109375" style="194" customWidth="1"/>
    <col min="259" max="259" width="15.85546875" style="194" customWidth="1"/>
    <col min="260" max="260" width="3.7109375" style="194" customWidth="1"/>
    <col min="261" max="261" width="6.7109375" style="194" customWidth="1"/>
    <col min="262" max="262" width="2.7109375" style="194" customWidth="1"/>
    <col min="263" max="264" width="6.7109375" style="194" customWidth="1"/>
    <col min="265" max="269" width="5.7109375" style="194" customWidth="1"/>
    <col min="270" max="270" width="3.140625" style="194" bestFit="1" customWidth="1"/>
    <col min="271" max="271" width="5.7109375" style="194" customWidth="1"/>
    <col min="272" max="272" width="6.7109375" style="194" customWidth="1"/>
    <col min="273" max="273" width="7.7109375" style="194" customWidth="1"/>
    <col min="274" max="274" width="5.7109375" style="194" customWidth="1"/>
    <col min="275" max="275" width="6.7109375" style="194" customWidth="1"/>
    <col min="276" max="276" width="7.7109375" style="194" customWidth="1"/>
    <col min="277" max="277" width="5.7109375" style="194" customWidth="1"/>
    <col min="278" max="278" width="2.7109375" style="194" customWidth="1"/>
    <col min="279" max="280" width="9.140625" style="194"/>
    <col min="281" max="281" width="13.42578125" style="194" customWidth="1"/>
    <col min="282" max="512" width="9.140625" style="194"/>
    <col min="513" max="514" width="2.7109375" style="194" customWidth="1"/>
    <col min="515" max="515" width="15.85546875" style="194" customWidth="1"/>
    <col min="516" max="516" width="3.7109375" style="194" customWidth="1"/>
    <col min="517" max="517" width="6.7109375" style="194" customWidth="1"/>
    <col min="518" max="518" width="2.7109375" style="194" customWidth="1"/>
    <col min="519" max="520" width="6.7109375" style="194" customWidth="1"/>
    <col min="521" max="525" width="5.7109375" style="194" customWidth="1"/>
    <col min="526" max="526" width="3.140625" style="194" bestFit="1" customWidth="1"/>
    <col min="527" max="527" width="5.7109375" style="194" customWidth="1"/>
    <col min="528" max="528" width="6.7109375" style="194" customWidth="1"/>
    <col min="529" max="529" width="7.7109375" style="194" customWidth="1"/>
    <col min="530" max="530" width="5.7109375" style="194" customWidth="1"/>
    <col min="531" max="531" width="6.7109375" style="194" customWidth="1"/>
    <col min="532" max="532" width="7.7109375" style="194" customWidth="1"/>
    <col min="533" max="533" width="5.7109375" style="194" customWidth="1"/>
    <col min="534" max="534" width="2.7109375" style="194" customWidth="1"/>
    <col min="535" max="536" width="9.140625" style="194"/>
    <col min="537" max="537" width="13.42578125" style="194" customWidth="1"/>
    <col min="538" max="768" width="9.140625" style="194"/>
    <col min="769" max="770" width="2.7109375" style="194" customWidth="1"/>
    <col min="771" max="771" width="15.85546875" style="194" customWidth="1"/>
    <col min="772" max="772" width="3.7109375" style="194" customWidth="1"/>
    <col min="773" max="773" width="6.7109375" style="194" customWidth="1"/>
    <col min="774" max="774" width="2.7109375" style="194" customWidth="1"/>
    <col min="775" max="776" width="6.7109375" style="194" customWidth="1"/>
    <col min="777" max="781" width="5.7109375" style="194" customWidth="1"/>
    <col min="782" max="782" width="3.140625" style="194" bestFit="1" customWidth="1"/>
    <col min="783" max="783" width="5.7109375" style="194" customWidth="1"/>
    <col min="784" max="784" width="6.7109375" style="194" customWidth="1"/>
    <col min="785" max="785" width="7.7109375" style="194" customWidth="1"/>
    <col min="786" max="786" width="5.7109375" style="194" customWidth="1"/>
    <col min="787" max="787" width="6.7109375" style="194" customWidth="1"/>
    <col min="788" max="788" width="7.7109375" style="194" customWidth="1"/>
    <col min="789" max="789" width="5.7109375" style="194" customWidth="1"/>
    <col min="790" max="790" width="2.7109375" style="194" customWidth="1"/>
    <col min="791" max="792" width="9.140625" style="194"/>
    <col min="793" max="793" width="13.42578125" style="194" customWidth="1"/>
    <col min="794" max="1024" width="9.140625" style="194"/>
    <col min="1025" max="1026" width="2.7109375" style="194" customWidth="1"/>
    <col min="1027" max="1027" width="15.85546875" style="194" customWidth="1"/>
    <col min="1028" max="1028" width="3.7109375" style="194" customWidth="1"/>
    <col min="1029" max="1029" width="6.7109375" style="194" customWidth="1"/>
    <col min="1030" max="1030" width="2.7109375" style="194" customWidth="1"/>
    <col min="1031" max="1032" width="6.7109375" style="194" customWidth="1"/>
    <col min="1033" max="1037" width="5.7109375" style="194" customWidth="1"/>
    <col min="1038" max="1038" width="3.140625" style="194" bestFit="1" customWidth="1"/>
    <col min="1039" max="1039" width="5.7109375" style="194" customWidth="1"/>
    <col min="1040" max="1040" width="6.7109375" style="194" customWidth="1"/>
    <col min="1041" max="1041" width="7.7109375" style="194" customWidth="1"/>
    <col min="1042" max="1042" width="5.7109375" style="194" customWidth="1"/>
    <col min="1043" max="1043" width="6.7109375" style="194" customWidth="1"/>
    <col min="1044" max="1044" width="7.7109375" style="194" customWidth="1"/>
    <col min="1045" max="1045" width="5.7109375" style="194" customWidth="1"/>
    <col min="1046" max="1046" width="2.7109375" style="194" customWidth="1"/>
    <col min="1047" max="1048" width="9.140625" style="194"/>
    <col min="1049" max="1049" width="13.42578125" style="194" customWidth="1"/>
    <col min="1050" max="1280" width="9.140625" style="194"/>
    <col min="1281" max="1282" width="2.7109375" style="194" customWidth="1"/>
    <col min="1283" max="1283" width="15.85546875" style="194" customWidth="1"/>
    <col min="1284" max="1284" width="3.7109375" style="194" customWidth="1"/>
    <col min="1285" max="1285" width="6.7109375" style="194" customWidth="1"/>
    <col min="1286" max="1286" width="2.7109375" style="194" customWidth="1"/>
    <col min="1287" max="1288" width="6.7109375" style="194" customWidth="1"/>
    <col min="1289" max="1293" width="5.7109375" style="194" customWidth="1"/>
    <col min="1294" max="1294" width="3.140625" style="194" bestFit="1" customWidth="1"/>
    <col min="1295" max="1295" width="5.7109375" style="194" customWidth="1"/>
    <col min="1296" max="1296" width="6.7109375" style="194" customWidth="1"/>
    <col min="1297" max="1297" width="7.7109375" style="194" customWidth="1"/>
    <col min="1298" max="1298" width="5.7109375" style="194" customWidth="1"/>
    <col min="1299" max="1299" width="6.7109375" style="194" customWidth="1"/>
    <col min="1300" max="1300" width="7.7109375" style="194" customWidth="1"/>
    <col min="1301" max="1301" width="5.7109375" style="194" customWidth="1"/>
    <col min="1302" max="1302" width="2.7109375" style="194" customWidth="1"/>
    <col min="1303" max="1304" width="9.140625" style="194"/>
    <col min="1305" max="1305" width="13.42578125" style="194" customWidth="1"/>
    <col min="1306" max="1536" width="9.140625" style="194"/>
    <col min="1537" max="1538" width="2.7109375" style="194" customWidth="1"/>
    <col min="1539" max="1539" width="15.85546875" style="194" customWidth="1"/>
    <col min="1540" max="1540" width="3.7109375" style="194" customWidth="1"/>
    <col min="1541" max="1541" width="6.7109375" style="194" customWidth="1"/>
    <col min="1542" max="1542" width="2.7109375" style="194" customWidth="1"/>
    <col min="1543" max="1544" width="6.7109375" style="194" customWidth="1"/>
    <col min="1545" max="1549" width="5.7109375" style="194" customWidth="1"/>
    <col min="1550" max="1550" width="3.140625" style="194" bestFit="1" customWidth="1"/>
    <col min="1551" max="1551" width="5.7109375" style="194" customWidth="1"/>
    <col min="1552" max="1552" width="6.7109375" style="194" customWidth="1"/>
    <col min="1553" max="1553" width="7.7109375" style="194" customWidth="1"/>
    <col min="1554" max="1554" width="5.7109375" style="194" customWidth="1"/>
    <col min="1555" max="1555" width="6.7109375" style="194" customWidth="1"/>
    <col min="1556" max="1556" width="7.7109375" style="194" customWidth="1"/>
    <col min="1557" max="1557" width="5.7109375" style="194" customWidth="1"/>
    <col min="1558" max="1558" width="2.7109375" style="194" customWidth="1"/>
    <col min="1559" max="1560" width="9.140625" style="194"/>
    <col min="1561" max="1561" width="13.42578125" style="194" customWidth="1"/>
    <col min="1562" max="1792" width="9.140625" style="194"/>
    <col min="1793" max="1794" width="2.7109375" style="194" customWidth="1"/>
    <col min="1795" max="1795" width="15.85546875" style="194" customWidth="1"/>
    <col min="1796" max="1796" width="3.7109375" style="194" customWidth="1"/>
    <col min="1797" max="1797" width="6.7109375" style="194" customWidth="1"/>
    <col min="1798" max="1798" width="2.7109375" style="194" customWidth="1"/>
    <col min="1799" max="1800" width="6.7109375" style="194" customWidth="1"/>
    <col min="1801" max="1805" width="5.7109375" style="194" customWidth="1"/>
    <col min="1806" max="1806" width="3.140625" style="194" bestFit="1" customWidth="1"/>
    <col min="1807" max="1807" width="5.7109375" style="194" customWidth="1"/>
    <col min="1808" max="1808" width="6.7109375" style="194" customWidth="1"/>
    <col min="1809" max="1809" width="7.7109375" style="194" customWidth="1"/>
    <col min="1810" max="1810" width="5.7109375" style="194" customWidth="1"/>
    <col min="1811" max="1811" width="6.7109375" style="194" customWidth="1"/>
    <col min="1812" max="1812" width="7.7109375" style="194" customWidth="1"/>
    <col min="1813" max="1813" width="5.7109375" style="194" customWidth="1"/>
    <col min="1814" max="1814" width="2.7109375" style="194" customWidth="1"/>
    <col min="1815" max="1816" width="9.140625" style="194"/>
    <col min="1817" max="1817" width="13.42578125" style="194" customWidth="1"/>
    <col min="1818" max="2048" width="9.140625" style="194"/>
    <col min="2049" max="2050" width="2.7109375" style="194" customWidth="1"/>
    <col min="2051" max="2051" width="15.85546875" style="194" customWidth="1"/>
    <col min="2052" max="2052" width="3.7109375" style="194" customWidth="1"/>
    <col min="2053" max="2053" width="6.7109375" style="194" customWidth="1"/>
    <col min="2054" max="2054" width="2.7109375" style="194" customWidth="1"/>
    <col min="2055" max="2056" width="6.7109375" style="194" customWidth="1"/>
    <col min="2057" max="2061" width="5.7109375" style="194" customWidth="1"/>
    <col min="2062" max="2062" width="3.140625" style="194" bestFit="1" customWidth="1"/>
    <col min="2063" max="2063" width="5.7109375" style="194" customWidth="1"/>
    <col min="2064" max="2064" width="6.7109375" style="194" customWidth="1"/>
    <col min="2065" max="2065" width="7.7109375" style="194" customWidth="1"/>
    <col min="2066" max="2066" width="5.7109375" style="194" customWidth="1"/>
    <col min="2067" max="2067" width="6.7109375" style="194" customWidth="1"/>
    <col min="2068" max="2068" width="7.7109375" style="194" customWidth="1"/>
    <col min="2069" max="2069" width="5.7109375" style="194" customWidth="1"/>
    <col min="2070" max="2070" width="2.7109375" style="194" customWidth="1"/>
    <col min="2071" max="2072" width="9.140625" style="194"/>
    <col min="2073" max="2073" width="13.42578125" style="194" customWidth="1"/>
    <col min="2074" max="2304" width="9.140625" style="194"/>
    <col min="2305" max="2306" width="2.7109375" style="194" customWidth="1"/>
    <col min="2307" max="2307" width="15.85546875" style="194" customWidth="1"/>
    <col min="2308" max="2308" width="3.7109375" style="194" customWidth="1"/>
    <col min="2309" max="2309" width="6.7109375" style="194" customWidth="1"/>
    <col min="2310" max="2310" width="2.7109375" style="194" customWidth="1"/>
    <col min="2311" max="2312" width="6.7109375" style="194" customWidth="1"/>
    <col min="2313" max="2317" width="5.7109375" style="194" customWidth="1"/>
    <col min="2318" max="2318" width="3.140625" style="194" bestFit="1" customWidth="1"/>
    <col min="2319" max="2319" width="5.7109375" style="194" customWidth="1"/>
    <col min="2320" max="2320" width="6.7109375" style="194" customWidth="1"/>
    <col min="2321" max="2321" width="7.7109375" style="194" customWidth="1"/>
    <col min="2322" max="2322" width="5.7109375" style="194" customWidth="1"/>
    <col min="2323" max="2323" width="6.7109375" style="194" customWidth="1"/>
    <col min="2324" max="2324" width="7.7109375" style="194" customWidth="1"/>
    <col min="2325" max="2325" width="5.7109375" style="194" customWidth="1"/>
    <col min="2326" max="2326" width="2.7109375" style="194" customWidth="1"/>
    <col min="2327" max="2328" width="9.140625" style="194"/>
    <col min="2329" max="2329" width="13.42578125" style="194" customWidth="1"/>
    <col min="2330" max="2560" width="9.140625" style="194"/>
    <col min="2561" max="2562" width="2.7109375" style="194" customWidth="1"/>
    <col min="2563" max="2563" width="15.85546875" style="194" customWidth="1"/>
    <col min="2564" max="2564" width="3.7109375" style="194" customWidth="1"/>
    <col min="2565" max="2565" width="6.7109375" style="194" customWidth="1"/>
    <col min="2566" max="2566" width="2.7109375" style="194" customWidth="1"/>
    <col min="2567" max="2568" width="6.7109375" style="194" customWidth="1"/>
    <col min="2569" max="2573" width="5.7109375" style="194" customWidth="1"/>
    <col min="2574" max="2574" width="3.140625" style="194" bestFit="1" customWidth="1"/>
    <col min="2575" max="2575" width="5.7109375" style="194" customWidth="1"/>
    <col min="2576" max="2576" width="6.7109375" style="194" customWidth="1"/>
    <col min="2577" max="2577" width="7.7109375" style="194" customWidth="1"/>
    <col min="2578" max="2578" width="5.7109375" style="194" customWidth="1"/>
    <col min="2579" max="2579" width="6.7109375" style="194" customWidth="1"/>
    <col min="2580" max="2580" width="7.7109375" style="194" customWidth="1"/>
    <col min="2581" max="2581" width="5.7109375" style="194" customWidth="1"/>
    <col min="2582" max="2582" width="2.7109375" style="194" customWidth="1"/>
    <col min="2583" max="2584" width="9.140625" style="194"/>
    <col min="2585" max="2585" width="13.42578125" style="194" customWidth="1"/>
    <col min="2586" max="2816" width="9.140625" style="194"/>
    <col min="2817" max="2818" width="2.7109375" style="194" customWidth="1"/>
    <col min="2819" max="2819" width="15.85546875" style="194" customWidth="1"/>
    <col min="2820" max="2820" width="3.7109375" style="194" customWidth="1"/>
    <col min="2821" max="2821" width="6.7109375" style="194" customWidth="1"/>
    <col min="2822" max="2822" width="2.7109375" style="194" customWidth="1"/>
    <col min="2823" max="2824" width="6.7109375" style="194" customWidth="1"/>
    <col min="2825" max="2829" width="5.7109375" style="194" customWidth="1"/>
    <col min="2830" max="2830" width="3.140625" style="194" bestFit="1" customWidth="1"/>
    <col min="2831" max="2831" width="5.7109375" style="194" customWidth="1"/>
    <col min="2832" max="2832" width="6.7109375" style="194" customWidth="1"/>
    <col min="2833" max="2833" width="7.7109375" style="194" customWidth="1"/>
    <col min="2834" max="2834" width="5.7109375" style="194" customWidth="1"/>
    <col min="2835" max="2835" width="6.7109375" style="194" customWidth="1"/>
    <col min="2836" max="2836" width="7.7109375" style="194" customWidth="1"/>
    <col min="2837" max="2837" width="5.7109375" style="194" customWidth="1"/>
    <col min="2838" max="2838" width="2.7109375" style="194" customWidth="1"/>
    <col min="2839" max="2840" width="9.140625" style="194"/>
    <col min="2841" max="2841" width="13.42578125" style="194" customWidth="1"/>
    <col min="2842" max="3072" width="9.140625" style="194"/>
    <col min="3073" max="3074" width="2.7109375" style="194" customWidth="1"/>
    <col min="3075" max="3075" width="15.85546875" style="194" customWidth="1"/>
    <col min="3076" max="3076" width="3.7109375" style="194" customWidth="1"/>
    <col min="3077" max="3077" width="6.7109375" style="194" customWidth="1"/>
    <col min="3078" max="3078" width="2.7109375" style="194" customWidth="1"/>
    <col min="3079" max="3080" width="6.7109375" style="194" customWidth="1"/>
    <col min="3081" max="3085" width="5.7109375" style="194" customWidth="1"/>
    <col min="3086" max="3086" width="3.140625" style="194" bestFit="1" customWidth="1"/>
    <col min="3087" max="3087" width="5.7109375" style="194" customWidth="1"/>
    <col min="3088" max="3088" width="6.7109375" style="194" customWidth="1"/>
    <col min="3089" max="3089" width="7.7109375" style="194" customWidth="1"/>
    <col min="3090" max="3090" width="5.7109375" style="194" customWidth="1"/>
    <col min="3091" max="3091" width="6.7109375" style="194" customWidth="1"/>
    <col min="3092" max="3092" width="7.7109375" style="194" customWidth="1"/>
    <col min="3093" max="3093" width="5.7109375" style="194" customWidth="1"/>
    <col min="3094" max="3094" width="2.7109375" style="194" customWidth="1"/>
    <col min="3095" max="3096" width="9.140625" style="194"/>
    <col min="3097" max="3097" width="13.42578125" style="194" customWidth="1"/>
    <col min="3098" max="3328" width="9.140625" style="194"/>
    <col min="3329" max="3330" width="2.7109375" style="194" customWidth="1"/>
    <col min="3331" max="3331" width="15.85546875" style="194" customWidth="1"/>
    <col min="3332" max="3332" width="3.7109375" style="194" customWidth="1"/>
    <col min="3333" max="3333" width="6.7109375" style="194" customWidth="1"/>
    <col min="3334" max="3334" width="2.7109375" style="194" customWidth="1"/>
    <col min="3335" max="3336" width="6.7109375" style="194" customWidth="1"/>
    <col min="3337" max="3341" width="5.7109375" style="194" customWidth="1"/>
    <col min="3342" max="3342" width="3.140625" style="194" bestFit="1" customWidth="1"/>
    <col min="3343" max="3343" width="5.7109375" style="194" customWidth="1"/>
    <col min="3344" max="3344" width="6.7109375" style="194" customWidth="1"/>
    <col min="3345" max="3345" width="7.7109375" style="194" customWidth="1"/>
    <col min="3346" max="3346" width="5.7109375" style="194" customWidth="1"/>
    <col min="3347" max="3347" width="6.7109375" style="194" customWidth="1"/>
    <col min="3348" max="3348" width="7.7109375" style="194" customWidth="1"/>
    <col min="3349" max="3349" width="5.7109375" style="194" customWidth="1"/>
    <col min="3350" max="3350" width="2.7109375" style="194" customWidth="1"/>
    <col min="3351" max="3352" width="9.140625" style="194"/>
    <col min="3353" max="3353" width="13.42578125" style="194" customWidth="1"/>
    <col min="3354" max="3584" width="9.140625" style="194"/>
    <col min="3585" max="3586" width="2.7109375" style="194" customWidth="1"/>
    <col min="3587" max="3587" width="15.85546875" style="194" customWidth="1"/>
    <col min="3588" max="3588" width="3.7109375" style="194" customWidth="1"/>
    <col min="3589" max="3589" width="6.7109375" style="194" customWidth="1"/>
    <col min="3590" max="3590" width="2.7109375" style="194" customWidth="1"/>
    <col min="3591" max="3592" width="6.7109375" style="194" customWidth="1"/>
    <col min="3593" max="3597" width="5.7109375" style="194" customWidth="1"/>
    <col min="3598" max="3598" width="3.140625" style="194" bestFit="1" customWidth="1"/>
    <col min="3599" max="3599" width="5.7109375" style="194" customWidth="1"/>
    <col min="3600" max="3600" width="6.7109375" style="194" customWidth="1"/>
    <col min="3601" max="3601" width="7.7109375" style="194" customWidth="1"/>
    <col min="3602" max="3602" width="5.7109375" style="194" customWidth="1"/>
    <col min="3603" max="3603" width="6.7109375" style="194" customWidth="1"/>
    <col min="3604" max="3604" width="7.7109375" style="194" customWidth="1"/>
    <col min="3605" max="3605" width="5.7109375" style="194" customWidth="1"/>
    <col min="3606" max="3606" width="2.7109375" style="194" customWidth="1"/>
    <col min="3607" max="3608" width="9.140625" style="194"/>
    <col min="3609" max="3609" width="13.42578125" style="194" customWidth="1"/>
    <col min="3610" max="3840" width="9.140625" style="194"/>
    <col min="3841" max="3842" width="2.7109375" style="194" customWidth="1"/>
    <col min="3843" max="3843" width="15.85546875" style="194" customWidth="1"/>
    <col min="3844" max="3844" width="3.7109375" style="194" customWidth="1"/>
    <col min="3845" max="3845" width="6.7109375" style="194" customWidth="1"/>
    <col min="3846" max="3846" width="2.7109375" style="194" customWidth="1"/>
    <col min="3847" max="3848" width="6.7109375" style="194" customWidth="1"/>
    <col min="3849" max="3853" width="5.7109375" style="194" customWidth="1"/>
    <col min="3854" max="3854" width="3.140625" style="194" bestFit="1" customWidth="1"/>
    <col min="3855" max="3855" width="5.7109375" style="194" customWidth="1"/>
    <col min="3856" max="3856" width="6.7109375" style="194" customWidth="1"/>
    <col min="3857" max="3857" width="7.7109375" style="194" customWidth="1"/>
    <col min="3858" max="3858" width="5.7109375" style="194" customWidth="1"/>
    <col min="3859" max="3859" width="6.7109375" style="194" customWidth="1"/>
    <col min="3860" max="3860" width="7.7109375" style="194" customWidth="1"/>
    <col min="3861" max="3861" width="5.7109375" style="194" customWidth="1"/>
    <col min="3862" max="3862" width="2.7109375" style="194" customWidth="1"/>
    <col min="3863" max="3864" width="9.140625" style="194"/>
    <col min="3865" max="3865" width="13.42578125" style="194" customWidth="1"/>
    <col min="3866" max="4096" width="9.140625" style="194"/>
    <col min="4097" max="4098" width="2.7109375" style="194" customWidth="1"/>
    <col min="4099" max="4099" width="15.85546875" style="194" customWidth="1"/>
    <col min="4100" max="4100" width="3.7109375" style="194" customWidth="1"/>
    <col min="4101" max="4101" width="6.7109375" style="194" customWidth="1"/>
    <col min="4102" max="4102" width="2.7109375" style="194" customWidth="1"/>
    <col min="4103" max="4104" width="6.7109375" style="194" customWidth="1"/>
    <col min="4105" max="4109" width="5.7109375" style="194" customWidth="1"/>
    <col min="4110" max="4110" width="3.140625" style="194" bestFit="1" customWidth="1"/>
    <col min="4111" max="4111" width="5.7109375" style="194" customWidth="1"/>
    <col min="4112" max="4112" width="6.7109375" style="194" customWidth="1"/>
    <col min="4113" max="4113" width="7.7109375" style="194" customWidth="1"/>
    <col min="4114" max="4114" width="5.7109375" style="194" customWidth="1"/>
    <col min="4115" max="4115" width="6.7109375" style="194" customWidth="1"/>
    <col min="4116" max="4116" width="7.7109375" style="194" customWidth="1"/>
    <col min="4117" max="4117" width="5.7109375" style="194" customWidth="1"/>
    <col min="4118" max="4118" width="2.7109375" style="194" customWidth="1"/>
    <col min="4119" max="4120" width="9.140625" style="194"/>
    <col min="4121" max="4121" width="13.42578125" style="194" customWidth="1"/>
    <col min="4122" max="4352" width="9.140625" style="194"/>
    <col min="4353" max="4354" width="2.7109375" style="194" customWidth="1"/>
    <col min="4355" max="4355" width="15.85546875" style="194" customWidth="1"/>
    <col min="4356" max="4356" width="3.7109375" style="194" customWidth="1"/>
    <col min="4357" max="4357" width="6.7109375" style="194" customWidth="1"/>
    <col min="4358" max="4358" width="2.7109375" style="194" customWidth="1"/>
    <col min="4359" max="4360" width="6.7109375" style="194" customWidth="1"/>
    <col min="4361" max="4365" width="5.7109375" style="194" customWidth="1"/>
    <col min="4366" max="4366" width="3.140625" style="194" bestFit="1" customWidth="1"/>
    <col min="4367" max="4367" width="5.7109375" style="194" customWidth="1"/>
    <col min="4368" max="4368" width="6.7109375" style="194" customWidth="1"/>
    <col min="4369" max="4369" width="7.7109375" style="194" customWidth="1"/>
    <col min="4370" max="4370" width="5.7109375" style="194" customWidth="1"/>
    <col min="4371" max="4371" width="6.7109375" style="194" customWidth="1"/>
    <col min="4372" max="4372" width="7.7109375" style="194" customWidth="1"/>
    <col min="4373" max="4373" width="5.7109375" style="194" customWidth="1"/>
    <col min="4374" max="4374" width="2.7109375" style="194" customWidth="1"/>
    <col min="4375" max="4376" width="9.140625" style="194"/>
    <col min="4377" max="4377" width="13.42578125" style="194" customWidth="1"/>
    <col min="4378" max="4608" width="9.140625" style="194"/>
    <col min="4609" max="4610" width="2.7109375" style="194" customWidth="1"/>
    <col min="4611" max="4611" width="15.85546875" style="194" customWidth="1"/>
    <col min="4612" max="4612" width="3.7109375" style="194" customWidth="1"/>
    <col min="4613" max="4613" width="6.7109375" style="194" customWidth="1"/>
    <col min="4614" max="4614" width="2.7109375" style="194" customWidth="1"/>
    <col min="4615" max="4616" width="6.7109375" style="194" customWidth="1"/>
    <col min="4617" max="4621" width="5.7109375" style="194" customWidth="1"/>
    <col min="4622" max="4622" width="3.140625" style="194" bestFit="1" customWidth="1"/>
    <col min="4623" max="4623" width="5.7109375" style="194" customWidth="1"/>
    <col min="4624" max="4624" width="6.7109375" style="194" customWidth="1"/>
    <col min="4625" max="4625" width="7.7109375" style="194" customWidth="1"/>
    <col min="4626" max="4626" width="5.7109375" style="194" customWidth="1"/>
    <col min="4627" max="4627" width="6.7109375" style="194" customWidth="1"/>
    <col min="4628" max="4628" width="7.7109375" style="194" customWidth="1"/>
    <col min="4629" max="4629" width="5.7109375" style="194" customWidth="1"/>
    <col min="4630" max="4630" width="2.7109375" style="194" customWidth="1"/>
    <col min="4631" max="4632" width="9.140625" style="194"/>
    <col min="4633" max="4633" width="13.42578125" style="194" customWidth="1"/>
    <col min="4634" max="4864" width="9.140625" style="194"/>
    <col min="4865" max="4866" width="2.7109375" style="194" customWidth="1"/>
    <col min="4867" max="4867" width="15.85546875" style="194" customWidth="1"/>
    <col min="4868" max="4868" width="3.7109375" style="194" customWidth="1"/>
    <col min="4869" max="4869" width="6.7109375" style="194" customWidth="1"/>
    <col min="4870" max="4870" width="2.7109375" style="194" customWidth="1"/>
    <col min="4871" max="4872" width="6.7109375" style="194" customWidth="1"/>
    <col min="4873" max="4877" width="5.7109375" style="194" customWidth="1"/>
    <col min="4878" max="4878" width="3.140625" style="194" bestFit="1" customWidth="1"/>
    <col min="4879" max="4879" width="5.7109375" style="194" customWidth="1"/>
    <col min="4880" max="4880" width="6.7109375" style="194" customWidth="1"/>
    <col min="4881" max="4881" width="7.7109375" style="194" customWidth="1"/>
    <col min="4882" max="4882" width="5.7109375" style="194" customWidth="1"/>
    <col min="4883" max="4883" width="6.7109375" style="194" customWidth="1"/>
    <col min="4884" max="4884" width="7.7109375" style="194" customWidth="1"/>
    <col min="4885" max="4885" width="5.7109375" style="194" customWidth="1"/>
    <col min="4886" max="4886" width="2.7109375" style="194" customWidth="1"/>
    <col min="4887" max="4888" width="9.140625" style="194"/>
    <col min="4889" max="4889" width="13.42578125" style="194" customWidth="1"/>
    <col min="4890" max="5120" width="9.140625" style="194"/>
    <col min="5121" max="5122" width="2.7109375" style="194" customWidth="1"/>
    <col min="5123" max="5123" width="15.85546875" style="194" customWidth="1"/>
    <col min="5124" max="5124" width="3.7109375" style="194" customWidth="1"/>
    <col min="5125" max="5125" width="6.7109375" style="194" customWidth="1"/>
    <col min="5126" max="5126" width="2.7109375" style="194" customWidth="1"/>
    <col min="5127" max="5128" width="6.7109375" style="194" customWidth="1"/>
    <col min="5129" max="5133" width="5.7109375" style="194" customWidth="1"/>
    <col min="5134" max="5134" width="3.140625" style="194" bestFit="1" customWidth="1"/>
    <col min="5135" max="5135" width="5.7109375" style="194" customWidth="1"/>
    <col min="5136" max="5136" width="6.7109375" style="194" customWidth="1"/>
    <col min="5137" max="5137" width="7.7109375" style="194" customWidth="1"/>
    <col min="5138" max="5138" width="5.7109375" style="194" customWidth="1"/>
    <col min="5139" max="5139" width="6.7109375" style="194" customWidth="1"/>
    <col min="5140" max="5140" width="7.7109375" style="194" customWidth="1"/>
    <col min="5141" max="5141" width="5.7109375" style="194" customWidth="1"/>
    <col min="5142" max="5142" width="2.7109375" style="194" customWidth="1"/>
    <col min="5143" max="5144" width="9.140625" style="194"/>
    <col min="5145" max="5145" width="13.42578125" style="194" customWidth="1"/>
    <col min="5146" max="5376" width="9.140625" style="194"/>
    <col min="5377" max="5378" width="2.7109375" style="194" customWidth="1"/>
    <col min="5379" max="5379" width="15.85546875" style="194" customWidth="1"/>
    <col min="5380" max="5380" width="3.7109375" style="194" customWidth="1"/>
    <col min="5381" max="5381" width="6.7109375" style="194" customWidth="1"/>
    <col min="5382" max="5382" width="2.7109375" style="194" customWidth="1"/>
    <col min="5383" max="5384" width="6.7109375" style="194" customWidth="1"/>
    <col min="5385" max="5389" width="5.7109375" style="194" customWidth="1"/>
    <col min="5390" max="5390" width="3.140625" style="194" bestFit="1" customWidth="1"/>
    <col min="5391" max="5391" width="5.7109375" style="194" customWidth="1"/>
    <col min="5392" max="5392" width="6.7109375" style="194" customWidth="1"/>
    <col min="5393" max="5393" width="7.7109375" style="194" customWidth="1"/>
    <col min="5394" max="5394" width="5.7109375" style="194" customWidth="1"/>
    <col min="5395" max="5395" width="6.7109375" style="194" customWidth="1"/>
    <col min="5396" max="5396" width="7.7109375" style="194" customWidth="1"/>
    <col min="5397" max="5397" width="5.7109375" style="194" customWidth="1"/>
    <col min="5398" max="5398" width="2.7109375" style="194" customWidth="1"/>
    <col min="5399" max="5400" width="9.140625" style="194"/>
    <col min="5401" max="5401" width="13.42578125" style="194" customWidth="1"/>
    <col min="5402" max="5632" width="9.140625" style="194"/>
    <col min="5633" max="5634" width="2.7109375" style="194" customWidth="1"/>
    <col min="5635" max="5635" width="15.85546875" style="194" customWidth="1"/>
    <col min="5636" max="5636" width="3.7109375" style="194" customWidth="1"/>
    <col min="5637" max="5637" width="6.7109375" style="194" customWidth="1"/>
    <col min="5638" max="5638" width="2.7109375" style="194" customWidth="1"/>
    <col min="5639" max="5640" width="6.7109375" style="194" customWidth="1"/>
    <col min="5641" max="5645" width="5.7109375" style="194" customWidth="1"/>
    <col min="5646" max="5646" width="3.140625" style="194" bestFit="1" customWidth="1"/>
    <col min="5647" max="5647" width="5.7109375" style="194" customWidth="1"/>
    <col min="5648" max="5648" width="6.7109375" style="194" customWidth="1"/>
    <col min="5649" max="5649" width="7.7109375" style="194" customWidth="1"/>
    <col min="5650" max="5650" width="5.7109375" style="194" customWidth="1"/>
    <col min="5651" max="5651" width="6.7109375" style="194" customWidth="1"/>
    <col min="5652" max="5652" width="7.7109375" style="194" customWidth="1"/>
    <col min="5653" max="5653" width="5.7109375" style="194" customWidth="1"/>
    <col min="5654" max="5654" width="2.7109375" style="194" customWidth="1"/>
    <col min="5655" max="5656" width="9.140625" style="194"/>
    <col min="5657" max="5657" width="13.42578125" style="194" customWidth="1"/>
    <col min="5658" max="5888" width="9.140625" style="194"/>
    <col min="5889" max="5890" width="2.7109375" style="194" customWidth="1"/>
    <col min="5891" max="5891" width="15.85546875" style="194" customWidth="1"/>
    <col min="5892" max="5892" width="3.7109375" style="194" customWidth="1"/>
    <col min="5893" max="5893" width="6.7109375" style="194" customWidth="1"/>
    <col min="5894" max="5894" width="2.7109375" style="194" customWidth="1"/>
    <col min="5895" max="5896" width="6.7109375" style="194" customWidth="1"/>
    <col min="5897" max="5901" width="5.7109375" style="194" customWidth="1"/>
    <col min="5902" max="5902" width="3.140625" style="194" bestFit="1" customWidth="1"/>
    <col min="5903" max="5903" width="5.7109375" style="194" customWidth="1"/>
    <col min="5904" max="5904" width="6.7109375" style="194" customWidth="1"/>
    <col min="5905" max="5905" width="7.7109375" style="194" customWidth="1"/>
    <col min="5906" max="5906" width="5.7109375" style="194" customWidth="1"/>
    <col min="5907" max="5907" width="6.7109375" style="194" customWidth="1"/>
    <col min="5908" max="5908" width="7.7109375" style="194" customWidth="1"/>
    <col min="5909" max="5909" width="5.7109375" style="194" customWidth="1"/>
    <col min="5910" max="5910" width="2.7109375" style="194" customWidth="1"/>
    <col min="5911" max="5912" width="9.140625" style="194"/>
    <col min="5913" max="5913" width="13.42578125" style="194" customWidth="1"/>
    <col min="5914" max="6144" width="9.140625" style="194"/>
    <col min="6145" max="6146" width="2.7109375" style="194" customWidth="1"/>
    <col min="6147" max="6147" width="15.85546875" style="194" customWidth="1"/>
    <col min="6148" max="6148" width="3.7109375" style="194" customWidth="1"/>
    <col min="6149" max="6149" width="6.7109375" style="194" customWidth="1"/>
    <col min="6150" max="6150" width="2.7109375" style="194" customWidth="1"/>
    <col min="6151" max="6152" width="6.7109375" style="194" customWidth="1"/>
    <col min="6153" max="6157" width="5.7109375" style="194" customWidth="1"/>
    <col min="6158" max="6158" width="3.140625" style="194" bestFit="1" customWidth="1"/>
    <col min="6159" max="6159" width="5.7109375" style="194" customWidth="1"/>
    <col min="6160" max="6160" width="6.7109375" style="194" customWidth="1"/>
    <col min="6161" max="6161" width="7.7109375" style="194" customWidth="1"/>
    <col min="6162" max="6162" width="5.7109375" style="194" customWidth="1"/>
    <col min="6163" max="6163" width="6.7109375" style="194" customWidth="1"/>
    <col min="6164" max="6164" width="7.7109375" style="194" customWidth="1"/>
    <col min="6165" max="6165" width="5.7109375" style="194" customWidth="1"/>
    <col min="6166" max="6166" width="2.7109375" style="194" customWidth="1"/>
    <col min="6167" max="6168" width="9.140625" style="194"/>
    <col min="6169" max="6169" width="13.42578125" style="194" customWidth="1"/>
    <col min="6170" max="6400" width="9.140625" style="194"/>
    <col min="6401" max="6402" width="2.7109375" style="194" customWidth="1"/>
    <col min="6403" max="6403" width="15.85546875" style="194" customWidth="1"/>
    <col min="6404" max="6404" width="3.7109375" style="194" customWidth="1"/>
    <col min="6405" max="6405" width="6.7109375" style="194" customWidth="1"/>
    <col min="6406" max="6406" width="2.7109375" style="194" customWidth="1"/>
    <col min="6407" max="6408" width="6.7109375" style="194" customWidth="1"/>
    <col min="6409" max="6413" width="5.7109375" style="194" customWidth="1"/>
    <col min="6414" max="6414" width="3.140625" style="194" bestFit="1" customWidth="1"/>
    <col min="6415" max="6415" width="5.7109375" style="194" customWidth="1"/>
    <col min="6416" max="6416" width="6.7109375" style="194" customWidth="1"/>
    <col min="6417" max="6417" width="7.7109375" style="194" customWidth="1"/>
    <col min="6418" max="6418" width="5.7109375" style="194" customWidth="1"/>
    <col min="6419" max="6419" width="6.7109375" style="194" customWidth="1"/>
    <col min="6420" max="6420" width="7.7109375" style="194" customWidth="1"/>
    <col min="6421" max="6421" width="5.7109375" style="194" customWidth="1"/>
    <col min="6422" max="6422" width="2.7109375" style="194" customWidth="1"/>
    <col min="6423" max="6424" width="9.140625" style="194"/>
    <col min="6425" max="6425" width="13.42578125" style="194" customWidth="1"/>
    <col min="6426" max="6656" width="9.140625" style="194"/>
    <col min="6657" max="6658" width="2.7109375" style="194" customWidth="1"/>
    <col min="6659" max="6659" width="15.85546875" style="194" customWidth="1"/>
    <col min="6660" max="6660" width="3.7109375" style="194" customWidth="1"/>
    <col min="6661" max="6661" width="6.7109375" style="194" customWidth="1"/>
    <col min="6662" max="6662" width="2.7109375" style="194" customWidth="1"/>
    <col min="6663" max="6664" width="6.7109375" style="194" customWidth="1"/>
    <col min="6665" max="6669" width="5.7109375" style="194" customWidth="1"/>
    <col min="6670" max="6670" width="3.140625" style="194" bestFit="1" customWidth="1"/>
    <col min="6671" max="6671" width="5.7109375" style="194" customWidth="1"/>
    <col min="6672" max="6672" width="6.7109375" style="194" customWidth="1"/>
    <col min="6673" max="6673" width="7.7109375" style="194" customWidth="1"/>
    <col min="6674" max="6674" width="5.7109375" style="194" customWidth="1"/>
    <col min="6675" max="6675" width="6.7109375" style="194" customWidth="1"/>
    <col min="6676" max="6676" width="7.7109375" style="194" customWidth="1"/>
    <col min="6677" max="6677" width="5.7109375" style="194" customWidth="1"/>
    <col min="6678" max="6678" width="2.7109375" style="194" customWidth="1"/>
    <col min="6679" max="6680" width="9.140625" style="194"/>
    <col min="6681" max="6681" width="13.42578125" style="194" customWidth="1"/>
    <col min="6682" max="6912" width="9.140625" style="194"/>
    <col min="6913" max="6914" width="2.7109375" style="194" customWidth="1"/>
    <col min="6915" max="6915" width="15.85546875" style="194" customWidth="1"/>
    <col min="6916" max="6916" width="3.7109375" style="194" customWidth="1"/>
    <col min="6917" max="6917" width="6.7109375" style="194" customWidth="1"/>
    <col min="6918" max="6918" width="2.7109375" style="194" customWidth="1"/>
    <col min="6919" max="6920" width="6.7109375" style="194" customWidth="1"/>
    <col min="6921" max="6925" width="5.7109375" style="194" customWidth="1"/>
    <col min="6926" max="6926" width="3.140625" style="194" bestFit="1" customWidth="1"/>
    <col min="6927" max="6927" width="5.7109375" style="194" customWidth="1"/>
    <col min="6928" max="6928" width="6.7109375" style="194" customWidth="1"/>
    <col min="6929" max="6929" width="7.7109375" style="194" customWidth="1"/>
    <col min="6930" max="6930" width="5.7109375" style="194" customWidth="1"/>
    <col min="6931" max="6931" width="6.7109375" style="194" customWidth="1"/>
    <col min="6932" max="6932" width="7.7109375" style="194" customWidth="1"/>
    <col min="6933" max="6933" width="5.7109375" style="194" customWidth="1"/>
    <col min="6934" max="6934" width="2.7109375" style="194" customWidth="1"/>
    <col min="6935" max="6936" width="9.140625" style="194"/>
    <col min="6937" max="6937" width="13.42578125" style="194" customWidth="1"/>
    <col min="6938" max="7168" width="9.140625" style="194"/>
    <col min="7169" max="7170" width="2.7109375" style="194" customWidth="1"/>
    <col min="7171" max="7171" width="15.85546875" style="194" customWidth="1"/>
    <col min="7172" max="7172" width="3.7109375" style="194" customWidth="1"/>
    <col min="7173" max="7173" width="6.7109375" style="194" customWidth="1"/>
    <col min="7174" max="7174" width="2.7109375" style="194" customWidth="1"/>
    <col min="7175" max="7176" width="6.7109375" style="194" customWidth="1"/>
    <col min="7177" max="7181" width="5.7109375" style="194" customWidth="1"/>
    <col min="7182" max="7182" width="3.140625" style="194" bestFit="1" customWidth="1"/>
    <col min="7183" max="7183" width="5.7109375" style="194" customWidth="1"/>
    <col min="7184" max="7184" width="6.7109375" style="194" customWidth="1"/>
    <col min="7185" max="7185" width="7.7109375" style="194" customWidth="1"/>
    <col min="7186" max="7186" width="5.7109375" style="194" customWidth="1"/>
    <col min="7187" max="7187" width="6.7109375" style="194" customWidth="1"/>
    <col min="7188" max="7188" width="7.7109375" style="194" customWidth="1"/>
    <col min="7189" max="7189" width="5.7109375" style="194" customWidth="1"/>
    <col min="7190" max="7190" width="2.7109375" style="194" customWidth="1"/>
    <col min="7191" max="7192" width="9.140625" style="194"/>
    <col min="7193" max="7193" width="13.42578125" style="194" customWidth="1"/>
    <col min="7194" max="7424" width="9.140625" style="194"/>
    <col min="7425" max="7426" width="2.7109375" style="194" customWidth="1"/>
    <col min="7427" max="7427" width="15.85546875" style="194" customWidth="1"/>
    <col min="7428" max="7428" width="3.7109375" style="194" customWidth="1"/>
    <col min="7429" max="7429" width="6.7109375" style="194" customWidth="1"/>
    <col min="7430" max="7430" width="2.7109375" style="194" customWidth="1"/>
    <col min="7431" max="7432" width="6.7109375" style="194" customWidth="1"/>
    <col min="7433" max="7437" width="5.7109375" style="194" customWidth="1"/>
    <col min="7438" max="7438" width="3.140625" style="194" bestFit="1" customWidth="1"/>
    <col min="7439" max="7439" width="5.7109375" style="194" customWidth="1"/>
    <col min="7440" max="7440" width="6.7109375" style="194" customWidth="1"/>
    <col min="7441" max="7441" width="7.7109375" style="194" customWidth="1"/>
    <col min="7442" max="7442" width="5.7109375" style="194" customWidth="1"/>
    <col min="7443" max="7443" width="6.7109375" style="194" customWidth="1"/>
    <col min="7444" max="7444" width="7.7109375" style="194" customWidth="1"/>
    <col min="7445" max="7445" width="5.7109375" style="194" customWidth="1"/>
    <col min="7446" max="7446" width="2.7109375" style="194" customWidth="1"/>
    <col min="7447" max="7448" width="9.140625" style="194"/>
    <col min="7449" max="7449" width="13.42578125" style="194" customWidth="1"/>
    <col min="7450" max="7680" width="9.140625" style="194"/>
    <col min="7681" max="7682" width="2.7109375" style="194" customWidth="1"/>
    <col min="7683" max="7683" width="15.85546875" style="194" customWidth="1"/>
    <col min="7684" max="7684" width="3.7109375" style="194" customWidth="1"/>
    <col min="7685" max="7685" width="6.7109375" style="194" customWidth="1"/>
    <col min="7686" max="7686" width="2.7109375" style="194" customWidth="1"/>
    <col min="7687" max="7688" width="6.7109375" style="194" customWidth="1"/>
    <col min="7689" max="7693" width="5.7109375" style="194" customWidth="1"/>
    <col min="7694" max="7694" width="3.140625" style="194" bestFit="1" customWidth="1"/>
    <col min="7695" max="7695" width="5.7109375" style="194" customWidth="1"/>
    <col min="7696" max="7696" width="6.7109375" style="194" customWidth="1"/>
    <col min="7697" max="7697" width="7.7109375" style="194" customWidth="1"/>
    <col min="7698" max="7698" width="5.7109375" style="194" customWidth="1"/>
    <col min="7699" max="7699" width="6.7109375" style="194" customWidth="1"/>
    <col min="7700" max="7700" width="7.7109375" style="194" customWidth="1"/>
    <col min="7701" max="7701" width="5.7109375" style="194" customWidth="1"/>
    <col min="7702" max="7702" width="2.7109375" style="194" customWidth="1"/>
    <col min="7703" max="7704" width="9.140625" style="194"/>
    <col min="7705" max="7705" width="13.42578125" style="194" customWidth="1"/>
    <col min="7706" max="7936" width="9.140625" style="194"/>
    <col min="7937" max="7938" width="2.7109375" style="194" customWidth="1"/>
    <col min="7939" max="7939" width="15.85546875" style="194" customWidth="1"/>
    <col min="7940" max="7940" width="3.7109375" style="194" customWidth="1"/>
    <col min="7941" max="7941" width="6.7109375" style="194" customWidth="1"/>
    <col min="7942" max="7942" width="2.7109375" style="194" customWidth="1"/>
    <col min="7943" max="7944" width="6.7109375" style="194" customWidth="1"/>
    <col min="7945" max="7949" width="5.7109375" style="194" customWidth="1"/>
    <col min="7950" max="7950" width="3.140625" style="194" bestFit="1" customWidth="1"/>
    <col min="7951" max="7951" width="5.7109375" style="194" customWidth="1"/>
    <col min="7952" max="7952" width="6.7109375" style="194" customWidth="1"/>
    <col min="7953" max="7953" width="7.7109375" style="194" customWidth="1"/>
    <col min="7954" max="7954" width="5.7109375" style="194" customWidth="1"/>
    <col min="7955" max="7955" width="6.7109375" style="194" customWidth="1"/>
    <col min="7956" max="7956" width="7.7109375" style="194" customWidth="1"/>
    <col min="7957" max="7957" width="5.7109375" style="194" customWidth="1"/>
    <col min="7958" max="7958" width="2.7109375" style="194" customWidth="1"/>
    <col min="7959" max="7960" width="9.140625" style="194"/>
    <col min="7961" max="7961" width="13.42578125" style="194" customWidth="1"/>
    <col min="7962" max="8192" width="9.140625" style="194"/>
    <col min="8193" max="8194" width="2.7109375" style="194" customWidth="1"/>
    <col min="8195" max="8195" width="15.85546875" style="194" customWidth="1"/>
    <col min="8196" max="8196" width="3.7109375" style="194" customWidth="1"/>
    <col min="8197" max="8197" width="6.7109375" style="194" customWidth="1"/>
    <col min="8198" max="8198" width="2.7109375" style="194" customWidth="1"/>
    <col min="8199" max="8200" width="6.7109375" style="194" customWidth="1"/>
    <col min="8201" max="8205" width="5.7109375" style="194" customWidth="1"/>
    <col min="8206" max="8206" width="3.140625" style="194" bestFit="1" customWidth="1"/>
    <col min="8207" max="8207" width="5.7109375" style="194" customWidth="1"/>
    <col min="8208" max="8208" width="6.7109375" style="194" customWidth="1"/>
    <col min="8209" max="8209" width="7.7109375" style="194" customWidth="1"/>
    <col min="8210" max="8210" width="5.7109375" style="194" customWidth="1"/>
    <col min="8211" max="8211" width="6.7109375" style="194" customWidth="1"/>
    <col min="8212" max="8212" width="7.7109375" style="194" customWidth="1"/>
    <col min="8213" max="8213" width="5.7109375" style="194" customWidth="1"/>
    <col min="8214" max="8214" width="2.7109375" style="194" customWidth="1"/>
    <col min="8215" max="8216" width="9.140625" style="194"/>
    <col min="8217" max="8217" width="13.42578125" style="194" customWidth="1"/>
    <col min="8218" max="8448" width="9.140625" style="194"/>
    <col min="8449" max="8450" width="2.7109375" style="194" customWidth="1"/>
    <col min="8451" max="8451" width="15.85546875" style="194" customWidth="1"/>
    <col min="8452" max="8452" width="3.7109375" style="194" customWidth="1"/>
    <col min="8453" max="8453" width="6.7109375" style="194" customWidth="1"/>
    <col min="8454" max="8454" width="2.7109375" style="194" customWidth="1"/>
    <col min="8455" max="8456" width="6.7109375" style="194" customWidth="1"/>
    <col min="8457" max="8461" width="5.7109375" style="194" customWidth="1"/>
    <col min="8462" max="8462" width="3.140625" style="194" bestFit="1" customWidth="1"/>
    <col min="8463" max="8463" width="5.7109375" style="194" customWidth="1"/>
    <col min="8464" max="8464" width="6.7109375" style="194" customWidth="1"/>
    <col min="8465" max="8465" width="7.7109375" style="194" customWidth="1"/>
    <col min="8466" max="8466" width="5.7109375" style="194" customWidth="1"/>
    <col min="8467" max="8467" width="6.7109375" style="194" customWidth="1"/>
    <col min="8468" max="8468" width="7.7109375" style="194" customWidth="1"/>
    <col min="8469" max="8469" width="5.7109375" style="194" customWidth="1"/>
    <col min="8470" max="8470" width="2.7109375" style="194" customWidth="1"/>
    <col min="8471" max="8472" width="9.140625" style="194"/>
    <col min="8473" max="8473" width="13.42578125" style="194" customWidth="1"/>
    <col min="8474" max="8704" width="9.140625" style="194"/>
    <col min="8705" max="8706" width="2.7109375" style="194" customWidth="1"/>
    <col min="8707" max="8707" width="15.85546875" style="194" customWidth="1"/>
    <col min="8708" max="8708" width="3.7109375" style="194" customWidth="1"/>
    <col min="8709" max="8709" width="6.7109375" style="194" customWidth="1"/>
    <col min="8710" max="8710" width="2.7109375" style="194" customWidth="1"/>
    <col min="8711" max="8712" width="6.7109375" style="194" customWidth="1"/>
    <col min="8713" max="8717" width="5.7109375" style="194" customWidth="1"/>
    <col min="8718" max="8718" width="3.140625" style="194" bestFit="1" customWidth="1"/>
    <col min="8719" max="8719" width="5.7109375" style="194" customWidth="1"/>
    <col min="8720" max="8720" width="6.7109375" style="194" customWidth="1"/>
    <col min="8721" max="8721" width="7.7109375" style="194" customWidth="1"/>
    <col min="8722" max="8722" width="5.7109375" style="194" customWidth="1"/>
    <col min="8723" max="8723" width="6.7109375" style="194" customWidth="1"/>
    <col min="8724" max="8724" width="7.7109375" style="194" customWidth="1"/>
    <col min="8725" max="8725" width="5.7109375" style="194" customWidth="1"/>
    <col min="8726" max="8726" width="2.7109375" style="194" customWidth="1"/>
    <col min="8727" max="8728" width="9.140625" style="194"/>
    <col min="8729" max="8729" width="13.42578125" style="194" customWidth="1"/>
    <col min="8730" max="8960" width="9.140625" style="194"/>
    <col min="8961" max="8962" width="2.7109375" style="194" customWidth="1"/>
    <col min="8963" max="8963" width="15.85546875" style="194" customWidth="1"/>
    <col min="8964" max="8964" width="3.7109375" style="194" customWidth="1"/>
    <col min="8965" max="8965" width="6.7109375" style="194" customWidth="1"/>
    <col min="8966" max="8966" width="2.7109375" style="194" customWidth="1"/>
    <col min="8967" max="8968" width="6.7109375" style="194" customWidth="1"/>
    <col min="8969" max="8973" width="5.7109375" style="194" customWidth="1"/>
    <col min="8974" max="8974" width="3.140625" style="194" bestFit="1" customWidth="1"/>
    <col min="8975" max="8975" width="5.7109375" style="194" customWidth="1"/>
    <col min="8976" max="8976" width="6.7109375" style="194" customWidth="1"/>
    <col min="8977" max="8977" width="7.7109375" style="194" customWidth="1"/>
    <col min="8978" max="8978" width="5.7109375" style="194" customWidth="1"/>
    <col min="8979" max="8979" width="6.7109375" style="194" customWidth="1"/>
    <col min="8980" max="8980" width="7.7109375" style="194" customWidth="1"/>
    <col min="8981" max="8981" width="5.7109375" style="194" customWidth="1"/>
    <col min="8982" max="8982" width="2.7109375" style="194" customWidth="1"/>
    <col min="8983" max="8984" width="9.140625" style="194"/>
    <col min="8985" max="8985" width="13.42578125" style="194" customWidth="1"/>
    <col min="8986" max="9216" width="9.140625" style="194"/>
    <col min="9217" max="9218" width="2.7109375" style="194" customWidth="1"/>
    <col min="9219" max="9219" width="15.85546875" style="194" customWidth="1"/>
    <col min="9220" max="9220" width="3.7109375" style="194" customWidth="1"/>
    <col min="9221" max="9221" width="6.7109375" style="194" customWidth="1"/>
    <col min="9222" max="9222" width="2.7109375" style="194" customWidth="1"/>
    <col min="9223" max="9224" width="6.7109375" style="194" customWidth="1"/>
    <col min="9225" max="9229" width="5.7109375" style="194" customWidth="1"/>
    <col min="9230" max="9230" width="3.140625" style="194" bestFit="1" customWidth="1"/>
    <col min="9231" max="9231" width="5.7109375" style="194" customWidth="1"/>
    <col min="9232" max="9232" width="6.7109375" style="194" customWidth="1"/>
    <col min="9233" max="9233" width="7.7109375" style="194" customWidth="1"/>
    <col min="9234" max="9234" width="5.7109375" style="194" customWidth="1"/>
    <col min="9235" max="9235" width="6.7109375" style="194" customWidth="1"/>
    <col min="9236" max="9236" width="7.7109375" style="194" customWidth="1"/>
    <col min="9237" max="9237" width="5.7109375" style="194" customWidth="1"/>
    <col min="9238" max="9238" width="2.7109375" style="194" customWidth="1"/>
    <col min="9239" max="9240" width="9.140625" style="194"/>
    <col min="9241" max="9241" width="13.42578125" style="194" customWidth="1"/>
    <col min="9242" max="9472" width="9.140625" style="194"/>
    <col min="9473" max="9474" width="2.7109375" style="194" customWidth="1"/>
    <col min="9475" max="9475" width="15.85546875" style="194" customWidth="1"/>
    <col min="9476" max="9476" width="3.7109375" style="194" customWidth="1"/>
    <col min="9477" max="9477" width="6.7109375" style="194" customWidth="1"/>
    <col min="9478" max="9478" width="2.7109375" style="194" customWidth="1"/>
    <col min="9479" max="9480" width="6.7109375" style="194" customWidth="1"/>
    <col min="9481" max="9485" width="5.7109375" style="194" customWidth="1"/>
    <col min="9486" max="9486" width="3.140625" style="194" bestFit="1" customWidth="1"/>
    <col min="9487" max="9487" width="5.7109375" style="194" customWidth="1"/>
    <col min="9488" max="9488" width="6.7109375" style="194" customWidth="1"/>
    <col min="9489" max="9489" width="7.7109375" style="194" customWidth="1"/>
    <col min="9490" max="9490" width="5.7109375" style="194" customWidth="1"/>
    <col min="9491" max="9491" width="6.7109375" style="194" customWidth="1"/>
    <col min="9492" max="9492" width="7.7109375" style="194" customWidth="1"/>
    <col min="9493" max="9493" width="5.7109375" style="194" customWidth="1"/>
    <col min="9494" max="9494" width="2.7109375" style="194" customWidth="1"/>
    <col min="9495" max="9496" width="9.140625" style="194"/>
    <col min="9497" max="9497" width="13.42578125" style="194" customWidth="1"/>
    <col min="9498" max="9728" width="9.140625" style="194"/>
    <col min="9729" max="9730" width="2.7109375" style="194" customWidth="1"/>
    <col min="9731" max="9731" width="15.85546875" style="194" customWidth="1"/>
    <col min="9732" max="9732" width="3.7109375" style="194" customWidth="1"/>
    <col min="9733" max="9733" width="6.7109375" style="194" customWidth="1"/>
    <col min="9734" max="9734" width="2.7109375" style="194" customWidth="1"/>
    <col min="9735" max="9736" width="6.7109375" style="194" customWidth="1"/>
    <col min="9737" max="9741" width="5.7109375" style="194" customWidth="1"/>
    <col min="9742" max="9742" width="3.140625" style="194" bestFit="1" customWidth="1"/>
    <col min="9743" max="9743" width="5.7109375" style="194" customWidth="1"/>
    <col min="9744" max="9744" width="6.7109375" style="194" customWidth="1"/>
    <col min="9745" max="9745" width="7.7109375" style="194" customWidth="1"/>
    <col min="9746" max="9746" width="5.7109375" style="194" customWidth="1"/>
    <col min="9747" max="9747" width="6.7109375" style="194" customWidth="1"/>
    <col min="9748" max="9748" width="7.7109375" style="194" customWidth="1"/>
    <col min="9749" max="9749" width="5.7109375" style="194" customWidth="1"/>
    <col min="9750" max="9750" width="2.7109375" style="194" customWidth="1"/>
    <col min="9751" max="9752" width="9.140625" style="194"/>
    <col min="9753" max="9753" width="13.42578125" style="194" customWidth="1"/>
    <col min="9754" max="9984" width="9.140625" style="194"/>
    <col min="9985" max="9986" width="2.7109375" style="194" customWidth="1"/>
    <col min="9987" max="9987" width="15.85546875" style="194" customWidth="1"/>
    <col min="9988" max="9988" width="3.7109375" style="194" customWidth="1"/>
    <col min="9989" max="9989" width="6.7109375" style="194" customWidth="1"/>
    <col min="9990" max="9990" width="2.7109375" style="194" customWidth="1"/>
    <col min="9991" max="9992" width="6.7109375" style="194" customWidth="1"/>
    <col min="9993" max="9997" width="5.7109375" style="194" customWidth="1"/>
    <col min="9998" max="9998" width="3.140625" style="194" bestFit="1" customWidth="1"/>
    <col min="9999" max="9999" width="5.7109375" style="194" customWidth="1"/>
    <col min="10000" max="10000" width="6.7109375" style="194" customWidth="1"/>
    <col min="10001" max="10001" width="7.7109375" style="194" customWidth="1"/>
    <col min="10002" max="10002" width="5.7109375" style="194" customWidth="1"/>
    <col min="10003" max="10003" width="6.7109375" style="194" customWidth="1"/>
    <col min="10004" max="10004" width="7.7109375" style="194" customWidth="1"/>
    <col min="10005" max="10005" width="5.7109375" style="194" customWidth="1"/>
    <col min="10006" max="10006" width="2.7109375" style="194" customWidth="1"/>
    <col min="10007" max="10008" width="9.140625" style="194"/>
    <col min="10009" max="10009" width="13.42578125" style="194" customWidth="1"/>
    <col min="10010" max="10240" width="9.140625" style="194"/>
    <col min="10241" max="10242" width="2.7109375" style="194" customWidth="1"/>
    <col min="10243" max="10243" width="15.85546875" style="194" customWidth="1"/>
    <col min="10244" max="10244" width="3.7109375" style="194" customWidth="1"/>
    <col min="10245" max="10245" width="6.7109375" style="194" customWidth="1"/>
    <col min="10246" max="10246" width="2.7109375" style="194" customWidth="1"/>
    <col min="10247" max="10248" width="6.7109375" style="194" customWidth="1"/>
    <col min="10249" max="10253" width="5.7109375" style="194" customWidth="1"/>
    <col min="10254" max="10254" width="3.140625" style="194" bestFit="1" customWidth="1"/>
    <col min="10255" max="10255" width="5.7109375" style="194" customWidth="1"/>
    <col min="10256" max="10256" width="6.7109375" style="194" customWidth="1"/>
    <col min="10257" max="10257" width="7.7109375" style="194" customWidth="1"/>
    <col min="10258" max="10258" width="5.7109375" style="194" customWidth="1"/>
    <col min="10259" max="10259" width="6.7109375" style="194" customWidth="1"/>
    <col min="10260" max="10260" width="7.7109375" style="194" customWidth="1"/>
    <col min="10261" max="10261" width="5.7109375" style="194" customWidth="1"/>
    <col min="10262" max="10262" width="2.7109375" style="194" customWidth="1"/>
    <col min="10263" max="10264" width="9.140625" style="194"/>
    <col min="10265" max="10265" width="13.42578125" style="194" customWidth="1"/>
    <col min="10266" max="10496" width="9.140625" style="194"/>
    <col min="10497" max="10498" width="2.7109375" style="194" customWidth="1"/>
    <col min="10499" max="10499" width="15.85546875" style="194" customWidth="1"/>
    <col min="10500" max="10500" width="3.7109375" style="194" customWidth="1"/>
    <col min="10501" max="10501" width="6.7109375" style="194" customWidth="1"/>
    <col min="10502" max="10502" width="2.7109375" style="194" customWidth="1"/>
    <col min="10503" max="10504" width="6.7109375" style="194" customWidth="1"/>
    <col min="10505" max="10509" width="5.7109375" style="194" customWidth="1"/>
    <col min="10510" max="10510" width="3.140625" style="194" bestFit="1" customWidth="1"/>
    <col min="10511" max="10511" width="5.7109375" style="194" customWidth="1"/>
    <col min="10512" max="10512" width="6.7109375" style="194" customWidth="1"/>
    <col min="10513" max="10513" width="7.7109375" style="194" customWidth="1"/>
    <col min="10514" max="10514" width="5.7109375" style="194" customWidth="1"/>
    <col min="10515" max="10515" width="6.7109375" style="194" customWidth="1"/>
    <col min="10516" max="10516" width="7.7109375" style="194" customWidth="1"/>
    <col min="10517" max="10517" width="5.7109375" style="194" customWidth="1"/>
    <col min="10518" max="10518" width="2.7109375" style="194" customWidth="1"/>
    <col min="10519" max="10520" width="9.140625" style="194"/>
    <col min="10521" max="10521" width="13.42578125" style="194" customWidth="1"/>
    <col min="10522" max="10752" width="9.140625" style="194"/>
    <col min="10753" max="10754" width="2.7109375" style="194" customWidth="1"/>
    <col min="10755" max="10755" width="15.85546875" style="194" customWidth="1"/>
    <col min="10756" max="10756" width="3.7109375" style="194" customWidth="1"/>
    <col min="10757" max="10757" width="6.7109375" style="194" customWidth="1"/>
    <col min="10758" max="10758" width="2.7109375" style="194" customWidth="1"/>
    <col min="10759" max="10760" width="6.7109375" style="194" customWidth="1"/>
    <col min="10761" max="10765" width="5.7109375" style="194" customWidth="1"/>
    <col min="10766" max="10766" width="3.140625" style="194" bestFit="1" customWidth="1"/>
    <col min="10767" max="10767" width="5.7109375" style="194" customWidth="1"/>
    <col min="10768" max="10768" width="6.7109375" style="194" customWidth="1"/>
    <col min="10769" max="10769" width="7.7109375" style="194" customWidth="1"/>
    <col min="10770" max="10770" width="5.7109375" style="194" customWidth="1"/>
    <col min="10771" max="10771" width="6.7109375" style="194" customWidth="1"/>
    <col min="10772" max="10772" width="7.7109375" style="194" customWidth="1"/>
    <col min="10773" max="10773" width="5.7109375" style="194" customWidth="1"/>
    <col min="10774" max="10774" width="2.7109375" style="194" customWidth="1"/>
    <col min="10775" max="10776" width="9.140625" style="194"/>
    <col min="10777" max="10777" width="13.42578125" style="194" customWidth="1"/>
    <col min="10778" max="11008" width="9.140625" style="194"/>
    <col min="11009" max="11010" width="2.7109375" style="194" customWidth="1"/>
    <col min="11011" max="11011" width="15.85546875" style="194" customWidth="1"/>
    <col min="11012" max="11012" width="3.7109375" style="194" customWidth="1"/>
    <col min="11013" max="11013" width="6.7109375" style="194" customWidth="1"/>
    <col min="11014" max="11014" width="2.7109375" style="194" customWidth="1"/>
    <col min="11015" max="11016" width="6.7109375" style="194" customWidth="1"/>
    <col min="11017" max="11021" width="5.7109375" style="194" customWidth="1"/>
    <col min="11022" max="11022" width="3.140625" style="194" bestFit="1" customWidth="1"/>
    <col min="11023" max="11023" width="5.7109375" style="194" customWidth="1"/>
    <col min="11024" max="11024" width="6.7109375" style="194" customWidth="1"/>
    <col min="11025" max="11025" width="7.7109375" style="194" customWidth="1"/>
    <col min="11026" max="11026" width="5.7109375" style="194" customWidth="1"/>
    <col min="11027" max="11027" width="6.7109375" style="194" customWidth="1"/>
    <col min="11028" max="11028" width="7.7109375" style="194" customWidth="1"/>
    <col min="11029" max="11029" width="5.7109375" style="194" customWidth="1"/>
    <col min="11030" max="11030" width="2.7109375" style="194" customWidth="1"/>
    <col min="11031" max="11032" width="9.140625" style="194"/>
    <col min="11033" max="11033" width="13.42578125" style="194" customWidth="1"/>
    <col min="11034" max="11264" width="9.140625" style="194"/>
    <col min="11265" max="11266" width="2.7109375" style="194" customWidth="1"/>
    <col min="11267" max="11267" width="15.85546875" style="194" customWidth="1"/>
    <col min="11268" max="11268" width="3.7109375" style="194" customWidth="1"/>
    <col min="11269" max="11269" width="6.7109375" style="194" customWidth="1"/>
    <col min="11270" max="11270" width="2.7109375" style="194" customWidth="1"/>
    <col min="11271" max="11272" width="6.7109375" style="194" customWidth="1"/>
    <col min="11273" max="11277" width="5.7109375" style="194" customWidth="1"/>
    <col min="11278" max="11278" width="3.140625" style="194" bestFit="1" customWidth="1"/>
    <col min="11279" max="11279" width="5.7109375" style="194" customWidth="1"/>
    <col min="11280" max="11280" width="6.7109375" style="194" customWidth="1"/>
    <col min="11281" max="11281" width="7.7109375" style="194" customWidth="1"/>
    <col min="11282" max="11282" width="5.7109375" style="194" customWidth="1"/>
    <col min="11283" max="11283" width="6.7109375" style="194" customWidth="1"/>
    <col min="11284" max="11284" width="7.7109375" style="194" customWidth="1"/>
    <col min="11285" max="11285" width="5.7109375" style="194" customWidth="1"/>
    <col min="11286" max="11286" width="2.7109375" style="194" customWidth="1"/>
    <col min="11287" max="11288" width="9.140625" style="194"/>
    <col min="11289" max="11289" width="13.42578125" style="194" customWidth="1"/>
    <col min="11290" max="11520" width="9.140625" style="194"/>
    <col min="11521" max="11522" width="2.7109375" style="194" customWidth="1"/>
    <col min="11523" max="11523" width="15.85546875" style="194" customWidth="1"/>
    <col min="11524" max="11524" width="3.7109375" style="194" customWidth="1"/>
    <col min="11525" max="11525" width="6.7109375" style="194" customWidth="1"/>
    <col min="11526" max="11526" width="2.7109375" style="194" customWidth="1"/>
    <col min="11527" max="11528" width="6.7109375" style="194" customWidth="1"/>
    <col min="11529" max="11533" width="5.7109375" style="194" customWidth="1"/>
    <col min="11534" max="11534" width="3.140625" style="194" bestFit="1" customWidth="1"/>
    <col min="11535" max="11535" width="5.7109375" style="194" customWidth="1"/>
    <col min="11536" max="11536" width="6.7109375" style="194" customWidth="1"/>
    <col min="11537" max="11537" width="7.7109375" style="194" customWidth="1"/>
    <col min="11538" max="11538" width="5.7109375" style="194" customWidth="1"/>
    <col min="11539" max="11539" width="6.7109375" style="194" customWidth="1"/>
    <col min="11540" max="11540" width="7.7109375" style="194" customWidth="1"/>
    <col min="11541" max="11541" width="5.7109375" style="194" customWidth="1"/>
    <col min="11542" max="11542" width="2.7109375" style="194" customWidth="1"/>
    <col min="11543" max="11544" width="9.140625" style="194"/>
    <col min="11545" max="11545" width="13.42578125" style="194" customWidth="1"/>
    <col min="11546" max="11776" width="9.140625" style="194"/>
    <col min="11777" max="11778" width="2.7109375" style="194" customWidth="1"/>
    <col min="11779" max="11779" width="15.85546875" style="194" customWidth="1"/>
    <col min="11780" max="11780" width="3.7109375" style="194" customWidth="1"/>
    <col min="11781" max="11781" width="6.7109375" style="194" customWidth="1"/>
    <col min="11782" max="11782" width="2.7109375" style="194" customWidth="1"/>
    <col min="11783" max="11784" width="6.7109375" style="194" customWidth="1"/>
    <col min="11785" max="11789" width="5.7109375" style="194" customWidth="1"/>
    <col min="11790" max="11790" width="3.140625" style="194" bestFit="1" customWidth="1"/>
    <col min="11791" max="11791" width="5.7109375" style="194" customWidth="1"/>
    <col min="11792" max="11792" width="6.7109375" style="194" customWidth="1"/>
    <col min="11793" max="11793" width="7.7109375" style="194" customWidth="1"/>
    <col min="11794" max="11794" width="5.7109375" style="194" customWidth="1"/>
    <col min="11795" max="11795" width="6.7109375" style="194" customWidth="1"/>
    <col min="11796" max="11796" width="7.7109375" style="194" customWidth="1"/>
    <col min="11797" max="11797" width="5.7109375" style="194" customWidth="1"/>
    <col min="11798" max="11798" width="2.7109375" style="194" customWidth="1"/>
    <col min="11799" max="11800" width="9.140625" style="194"/>
    <col min="11801" max="11801" width="13.42578125" style="194" customWidth="1"/>
    <col min="11802" max="12032" width="9.140625" style="194"/>
    <col min="12033" max="12034" width="2.7109375" style="194" customWidth="1"/>
    <col min="12035" max="12035" width="15.85546875" style="194" customWidth="1"/>
    <col min="12036" max="12036" width="3.7109375" style="194" customWidth="1"/>
    <col min="12037" max="12037" width="6.7109375" style="194" customWidth="1"/>
    <col min="12038" max="12038" width="2.7109375" style="194" customWidth="1"/>
    <col min="12039" max="12040" width="6.7109375" style="194" customWidth="1"/>
    <col min="12041" max="12045" width="5.7109375" style="194" customWidth="1"/>
    <col min="12046" max="12046" width="3.140625" style="194" bestFit="1" customWidth="1"/>
    <col min="12047" max="12047" width="5.7109375" style="194" customWidth="1"/>
    <col min="12048" max="12048" width="6.7109375" style="194" customWidth="1"/>
    <col min="12049" max="12049" width="7.7109375" style="194" customWidth="1"/>
    <col min="12050" max="12050" width="5.7109375" style="194" customWidth="1"/>
    <col min="12051" max="12051" width="6.7109375" style="194" customWidth="1"/>
    <col min="12052" max="12052" width="7.7109375" style="194" customWidth="1"/>
    <col min="12053" max="12053" width="5.7109375" style="194" customWidth="1"/>
    <col min="12054" max="12054" width="2.7109375" style="194" customWidth="1"/>
    <col min="12055" max="12056" width="9.140625" style="194"/>
    <col min="12057" max="12057" width="13.42578125" style="194" customWidth="1"/>
    <col min="12058" max="12288" width="9.140625" style="194"/>
    <col min="12289" max="12290" width="2.7109375" style="194" customWidth="1"/>
    <col min="12291" max="12291" width="15.85546875" style="194" customWidth="1"/>
    <col min="12292" max="12292" width="3.7109375" style="194" customWidth="1"/>
    <col min="12293" max="12293" width="6.7109375" style="194" customWidth="1"/>
    <col min="12294" max="12294" width="2.7109375" style="194" customWidth="1"/>
    <col min="12295" max="12296" width="6.7109375" style="194" customWidth="1"/>
    <col min="12297" max="12301" width="5.7109375" style="194" customWidth="1"/>
    <col min="12302" max="12302" width="3.140625" style="194" bestFit="1" customWidth="1"/>
    <col min="12303" max="12303" width="5.7109375" style="194" customWidth="1"/>
    <col min="12304" max="12304" width="6.7109375" style="194" customWidth="1"/>
    <col min="12305" max="12305" width="7.7109375" style="194" customWidth="1"/>
    <col min="12306" max="12306" width="5.7109375" style="194" customWidth="1"/>
    <col min="12307" max="12307" width="6.7109375" style="194" customWidth="1"/>
    <col min="12308" max="12308" width="7.7109375" style="194" customWidth="1"/>
    <col min="12309" max="12309" width="5.7109375" style="194" customWidth="1"/>
    <col min="12310" max="12310" width="2.7109375" style="194" customWidth="1"/>
    <col min="12311" max="12312" width="9.140625" style="194"/>
    <col min="12313" max="12313" width="13.42578125" style="194" customWidth="1"/>
    <col min="12314" max="12544" width="9.140625" style="194"/>
    <col min="12545" max="12546" width="2.7109375" style="194" customWidth="1"/>
    <col min="12547" max="12547" width="15.85546875" style="194" customWidth="1"/>
    <col min="12548" max="12548" width="3.7109375" style="194" customWidth="1"/>
    <col min="12549" max="12549" width="6.7109375" style="194" customWidth="1"/>
    <col min="12550" max="12550" width="2.7109375" style="194" customWidth="1"/>
    <col min="12551" max="12552" width="6.7109375" style="194" customWidth="1"/>
    <col min="12553" max="12557" width="5.7109375" style="194" customWidth="1"/>
    <col min="12558" max="12558" width="3.140625" style="194" bestFit="1" customWidth="1"/>
    <col min="12559" max="12559" width="5.7109375" style="194" customWidth="1"/>
    <col min="12560" max="12560" width="6.7109375" style="194" customWidth="1"/>
    <col min="12561" max="12561" width="7.7109375" style="194" customWidth="1"/>
    <col min="12562" max="12562" width="5.7109375" style="194" customWidth="1"/>
    <col min="12563" max="12563" width="6.7109375" style="194" customWidth="1"/>
    <col min="12564" max="12564" width="7.7109375" style="194" customWidth="1"/>
    <col min="12565" max="12565" width="5.7109375" style="194" customWidth="1"/>
    <col min="12566" max="12566" width="2.7109375" style="194" customWidth="1"/>
    <col min="12567" max="12568" width="9.140625" style="194"/>
    <col min="12569" max="12569" width="13.42578125" style="194" customWidth="1"/>
    <col min="12570" max="12800" width="9.140625" style="194"/>
    <col min="12801" max="12802" width="2.7109375" style="194" customWidth="1"/>
    <col min="12803" max="12803" width="15.85546875" style="194" customWidth="1"/>
    <col min="12804" max="12804" width="3.7109375" style="194" customWidth="1"/>
    <col min="12805" max="12805" width="6.7109375" style="194" customWidth="1"/>
    <col min="12806" max="12806" width="2.7109375" style="194" customWidth="1"/>
    <col min="12807" max="12808" width="6.7109375" style="194" customWidth="1"/>
    <col min="12809" max="12813" width="5.7109375" style="194" customWidth="1"/>
    <col min="12814" max="12814" width="3.140625" style="194" bestFit="1" customWidth="1"/>
    <col min="12815" max="12815" width="5.7109375" style="194" customWidth="1"/>
    <col min="12816" max="12816" width="6.7109375" style="194" customWidth="1"/>
    <col min="12817" max="12817" width="7.7109375" style="194" customWidth="1"/>
    <col min="12818" max="12818" width="5.7109375" style="194" customWidth="1"/>
    <col min="12819" max="12819" width="6.7109375" style="194" customWidth="1"/>
    <col min="12820" max="12820" width="7.7109375" style="194" customWidth="1"/>
    <col min="12821" max="12821" width="5.7109375" style="194" customWidth="1"/>
    <col min="12822" max="12822" width="2.7109375" style="194" customWidth="1"/>
    <col min="12823" max="12824" width="9.140625" style="194"/>
    <col min="12825" max="12825" width="13.42578125" style="194" customWidth="1"/>
    <col min="12826" max="13056" width="9.140625" style="194"/>
    <col min="13057" max="13058" width="2.7109375" style="194" customWidth="1"/>
    <col min="13059" max="13059" width="15.85546875" style="194" customWidth="1"/>
    <col min="13060" max="13060" width="3.7109375" style="194" customWidth="1"/>
    <col min="13061" max="13061" width="6.7109375" style="194" customWidth="1"/>
    <col min="13062" max="13062" width="2.7109375" style="194" customWidth="1"/>
    <col min="13063" max="13064" width="6.7109375" style="194" customWidth="1"/>
    <col min="13065" max="13069" width="5.7109375" style="194" customWidth="1"/>
    <col min="13070" max="13070" width="3.140625" style="194" bestFit="1" customWidth="1"/>
    <col min="13071" max="13071" width="5.7109375" style="194" customWidth="1"/>
    <col min="13072" max="13072" width="6.7109375" style="194" customWidth="1"/>
    <col min="13073" max="13073" width="7.7109375" style="194" customWidth="1"/>
    <col min="13074" max="13074" width="5.7109375" style="194" customWidth="1"/>
    <col min="13075" max="13075" width="6.7109375" style="194" customWidth="1"/>
    <col min="13076" max="13076" width="7.7109375" style="194" customWidth="1"/>
    <col min="13077" max="13077" width="5.7109375" style="194" customWidth="1"/>
    <col min="13078" max="13078" width="2.7109375" style="194" customWidth="1"/>
    <col min="13079" max="13080" width="9.140625" style="194"/>
    <col min="13081" max="13081" width="13.42578125" style="194" customWidth="1"/>
    <col min="13082" max="13312" width="9.140625" style="194"/>
    <col min="13313" max="13314" width="2.7109375" style="194" customWidth="1"/>
    <col min="13315" max="13315" width="15.85546875" style="194" customWidth="1"/>
    <col min="13316" max="13316" width="3.7109375" style="194" customWidth="1"/>
    <col min="13317" max="13317" width="6.7109375" style="194" customWidth="1"/>
    <col min="13318" max="13318" width="2.7109375" style="194" customWidth="1"/>
    <col min="13319" max="13320" width="6.7109375" style="194" customWidth="1"/>
    <col min="13321" max="13325" width="5.7109375" style="194" customWidth="1"/>
    <col min="13326" max="13326" width="3.140625" style="194" bestFit="1" customWidth="1"/>
    <col min="13327" max="13327" width="5.7109375" style="194" customWidth="1"/>
    <col min="13328" max="13328" width="6.7109375" style="194" customWidth="1"/>
    <col min="13329" max="13329" width="7.7109375" style="194" customWidth="1"/>
    <col min="13330" max="13330" width="5.7109375" style="194" customWidth="1"/>
    <col min="13331" max="13331" width="6.7109375" style="194" customWidth="1"/>
    <col min="13332" max="13332" width="7.7109375" style="194" customWidth="1"/>
    <col min="13333" max="13333" width="5.7109375" style="194" customWidth="1"/>
    <col min="13334" max="13334" width="2.7109375" style="194" customWidth="1"/>
    <col min="13335" max="13336" width="9.140625" style="194"/>
    <col min="13337" max="13337" width="13.42578125" style="194" customWidth="1"/>
    <col min="13338" max="13568" width="9.140625" style="194"/>
    <col min="13569" max="13570" width="2.7109375" style="194" customWidth="1"/>
    <col min="13571" max="13571" width="15.85546875" style="194" customWidth="1"/>
    <col min="13572" max="13572" width="3.7109375" style="194" customWidth="1"/>
    <col min="13573" max="13573" width="6.7109375" style="194" customWidth="1"/>
    <col min="13574" max="13574" width="2.7109375" style="194" customWidth="1"/>
    <col min="13575" max="13576" width="6.7109375" style="194" customWidth="1"/>
    <col min="13577" max="13581" width="5.7109375" style="194" customWidth="1"/>
    <col min="13582" max="13582" width="3.140625" style="194" bestFit="1" customWidth="1"/>
    <col min="13583" max="13583" width="5.7109375" style="194" customWidth="1"/>
    <col min="13584" max="13584" width="6.7109375" style="194" customWidth="1"/>
    <col min="13585" max="13585" width="7.7109375" style="194" customWidth="1"/>
    <col min="13586" max="13586" width="5.7109375" style="194" customWidth="1"/>
    <col min="13587" max="13587" width="6.7109375" style="194" customWidth="1"/>
    <col min="13588" max="13588" width="7.7109375" style="194" customWidth="1"/>
    <col min="13589" max="13589" width="5.7109375" style="194" customWidth="1"/>
    <col min="13590" max="13590" width="2.7109375" style="194" customWidth="1"/>
    <col min="13591" max="13592" width="9.140625" style="194"/>
    <col min="13593" max="13593" width="13.42578125" style="194" customWidth="1"/>
    <col min="13594" max="13824" width="9.140625" style="194"/>
    <col min="13825" max="13826" width="2.7109375" style="194" customWidth="1"/>
    <col min="13827" max="13827" width="15.85546875" style="194" customWidth="1"/>
    <col min="13828" max="13828" width="3.7109375" style="194" customWidth="1"/>
    <col min="13829" max="13829" width="6.7109375" style="194" customWidth="1"/>
    <col min="13830" max="13830" width="2.7109375" style="194" customWidth="1"/>
    <col min="13831" max="13832" width="6.7109375" style="194" customWidth="1"/>
    <col min="13833" max="13837" width="5.7109375" style="194" customWidth="1"/>
    <col min="13838" max="13838" width="3.140625" style="194" bestFit="1" customWidth="1"/>
    <col min="13839" max="13839" width="5.7109375" style="194" customWidth="1"/>
    <col min="13840" max="13840" width="6.7109375" style="194" customWidth="1"/>
    <col min="13841" max="13841" width="7.7109375" style="194" customWidth="1"/>
    <col min="13842" max="13842" width="5.7109375" style="194" customWidth="1"/>
    <col min="13843" max="13843" width="6.7109375" style="194" customWidth="1"/>
    <col min="13844" max="13844" width="7.7109375" style="194" customWidth="1"/>
    <col min="13845" max="13845" width="5.7109375" style="194" customWidth="1"/>
    <col min="13846" max="13846" width="2.7109375" style="194" customWidth="1"/>
    <col min="13847" max="13848" width="9.140625" style="194"/>
    <col min="13849" max="13849" width="13.42578125" style="194" customWidth="1"/>
    <col min="13850" max="14080" width="9.140625" style="194"/>
    <col min="14081" max="14082" width="2.7109375" style="194" customWidth="1"/>
    <col min="14083" max="14083" width="15.85546875" style="194" customWidth="1"/>
    <col min="14084" max="14084" width="3.7109375" style="194" customWidth="1"/>
    <col min="14085" max="14085" width="6.7109375" style="194" customWidth="1"/>
    <col min="14086" max="14086" width="2.7109375" style="194" customWidth="1"/>
    <col min="14087" max="14088" width="6.7109375" style="194" customWidth="1"/>
    <col min="14089" max="14093" width="5.7109375" style="194" customWidth="1"/>
    <col min="14094" max="14094" width="3.140625" style="194" bestFit="1" customWidth="1"/>
    <col min="14095" max="14095" width="5.7109375" style="194" customWidth="1"/>
    <col min="14096" max="14096" width="6.7109375" style="194" customWidth="1"/>
    <col min="14097" max="14097" width="7.7109375" style="194" customWidth="1"/>
    <col min="14098" max="14098" width="5.7109375" style="194" customWidth="1"/>
    <col min="14099" max="14099" width="6.7109375" style="194" customWidth="1"/>
    <col min="14100" max="14100" width="7.7109375" style="194" customWidth="1"/>
    <col min="14101" max="14101" width="5.7109375" style="194" customWidth="1"/>
    <col min="14102" max="14102" width="2.7109375" style="194" customWidth="1"/>
    <col min="14103" max="14104" width="9.140625" style="194"/>
    <col min="14105" max="14105" width="13.42578125" style="194" customWidth="1"/>
    <col min="14106" max="14336" width="9.140625" style="194"/>
    <col min="14337" max="14338" width="2.7109375" style="194" customWidth="1"/>
    <col min="14339" max="14339" width="15.85546875" style="194" customWidth="1"/>
    <col min="14340" max="14340" width="3.7109375" style="194" customWidth="1"/>
    <col min="14341" max="14341" width="6.7109375" style="194" customWidth="1"/>
    <col min="14342" max="14342" width="2.7109375" style="194" customWidth="1"/>
    <col min="14343" max="14344" width="6.7109375" style="194" customWidth="1"/>
    <col min="14345" max="14349" width="5.7109375" style="194" customWidth="1"/>
    <col min="14350" max="14350" width="3.140625" style="194" bestFit="1" customWidth="1"/>
    <col min="14351" max="14351" width="5.7109375" style="194" customWidth="1"/>
    <col min="14352" max="14352" width="6.7109375" style="194" customWidth="1"/>
    <col min="14353" max="14353" width="7.7109375" style="194" customWidth="1"/>
    <col min="14354" max="14354" width="5.7109375" style="194" customWidth="1"/>
    <col min="14355" max="14355" width="6.7109375" style="194" customWidth="1"/>
    <col min="14356" max="14356" width="7.7109375" style="194" customWidth="1"/>
    <col min="14357" max="14357" width="5.7109375" style="194" customWidth="1"/>
    <col min="14358" max="14358" width="2.7109375" style="194" customWidth="1"/>
    <col min="14359" max="14360" width="9.140625" style="194"/>
    <col min="14361" max="14361" width="13.42578125" style="194" customWidth="1"/>
    <col min="14362" max="14592" width="9.140625" style="194"/>
    <col min="14593" max="14594" width="2.7109375" style="194" customWidth="1"/>
    <col min="14595" max="14595" width="15.85546875" style="194" customWidth="1"/>
    <col min="14596" max="14596" width="3.7109375" style="194" customWidth="1"/>
    <col min="14597" max="14597" width="6.7109375" style="194" customWidth="1"/>
    <col min="14598" max="14598" width="2.7109375" style="194" customWidth="1"/>
    <col min="14599" max="14600" width="6.7109375" style="194" customWidth="1"/>
    <col min="14601" max="14605" width="5.7109375" style="194" customWidth="1"/>
    <col min="14606" max="14606" width="3.140625" style="194" bestFit="1" customWidth="1"/>
    <col min="14607" max="14607" width="5.7109375" style="194" customWidth="1"/>
    <col min="14608" max="14608" width="6.7109375" style="194" customWidth="1"/>
    <col min="14609" max="14609" width="7.7109375" style="194" customWidth="1"/>
    <col min="14610" max="14610" width="5.7109375" style="194" customWidth="1"/>
    <col min="14611" max="14611" width="6.7109375" style="194" customWidth="1"/>
    <col min="14612" max="14612" width="7.7109375" style="194" customWidth="1"/>
    <col min="14613" max="14613" width="5.7109375" style="194" customWidth="1"/>
    <col min="14614" max="14614" width="2.7109375" style="194" customWidth="1"/>
    <col min="14615" max="14616" width="9.140625" style="194"/>
    <col min="14617" max="14617" width="13.42578125" style="194" customWidth="1"/>
    <col min="14618" max="14848" width="9.140625" style="194"/>
    <col min="14849" max="14850" width="2.7109375" style="194" customWidth="1"/>
    <col min="14851" max="14851" width="15.85546875" style="194" customWidth="1"/>
    <col min="14852" max="14852" width="3.7109375" style="194" customWidth="1"/>
    <col min="14853" max="14853" width="6.7109375" style="194" customWidth="1"/>
    <col min="14854" max="14854" width="2.7109375" style="194" customWidth="1"/>
    <col min="14855" max="14856" width="6.7109375" style="194" customWidth="1"/>
    <col min="14857" max="14861" width="5.7109375" style="194" customWidth="1"/>
    <col min="14862" max="14862" width="3.140625" style="194" bestFit="1" customWidth="1"/>
    <col min="14863" max="14863" width="5.7109375" style="194" customWidth="1"/>
    <col min="14864" max="14864" width="6.7109375" style="194" customWidth="1"/>
    <col min="14865" max="14865" width="7.7109375" style="194" customWidth="1"/>
    <col min="14866" max="14866" width="5.7109375" style="194" customWidth="1"/>
    <col min="14867" max="14867" width="6.7109375" style="194" customWidth="1"/>
    <col min="14868" max="14868" width="7.7109375" style="194" customWidth="1"/>
    <col min="14869" max="14869" width="5.7109375" style="194" customWidth="1"/>
    <col min="14870" max="14870" width="2.7109375" style="194" customWidth="1"/>
    <col min="14871" max="14872" width="9.140625" style="194"/>
    <col min="14873" max="14873" width="13.42578125" style="194" customWidth="1"/>
    <col min="14874" max="15104" width="9.140625" style="194"/>
    <col min="15105" max="15106" width="2.7109375" style="194" customWidth="1"/>
    <col min="15107" max="15107" width="15.85546875" style="194" customWidth="1"/>
    <col min="15108" max="15108" width="3.7109375" style="194" customWidth="1"/>
    <col min="15109" max="15109" width="6.7109375" style="194" customWidth="1"/>
    <col min="15110" max="15110" width="2.7109375" style="194" customWidth="1"/>
    <col min="15111" max="15112" width="6.7109375" style="194" customWidth="1"/>
    <col min="15113" max="15117" width="5.7109375" style="194" customWidth="1"/>
    <col min="15118" max="15118" width="3.140625" style="194" bestFit="1" customWidth="1"/>
    <col min="15119" max="15119" width="5.7109375" style="194" customWidth="1"/>
    <col min="15120" max="15120" width="6.7109375" style="194" customWidth="1"/>
    <col min="15121" max="15121" width="7.7109375" style="194" customWidth="1"/>
    <col min="15122" max="15122" width="5.7109375" style="194" customWidth="1"/>
    <col min="15123" max="15123" width="6.7109375" style="194" customWidth="1"/>
    <col min="15124" max="15124" width="7.7109375" style="194" customWidth="1"/>
    <col min="15125" max="15125" width="5.7109375" style="194" customWidth="1"/>
    <col min="15126" max="15126" width="2.7109375" style="194" customWidth="1"/>
    <col min="15127" max="15128" width="9.140625" style="194"/>
    <col min="15129" max="15129" width="13.42578125" style="194" customWidth="1"/>
    <col min="15130" max="15360" width="9.140625" style="194"/>
    <col min="15361" max="15362" width="2.7109375" style="194" customWidth="1"/>
    <col min="15363" max="15363" width="15.85546875" style="194" customWidth="1"/>
    <col min="15364" max="15364" width="3.7109375" style="194" customWidth="1"/>
    <col min="15365" max="15365" width="6.7109375" style="194" customWidth="1"/>
    <col min="15366" max="15366" width="2.7109375" style="194" customWidth="1"/>
    <col min="15367" max="15368" width="6.7109375" style="194" customWidth="1"/>
    <col min="15369" max="15373" width="5.7109375" style="194" customWidth="1"/>
    <col min="15374" max="15374" width="3.140625" style="194" bestFit="1" customWidth="1"/>
    <col min="15375" max="15375" width="5.7109375" style="194" customWidth="1"/>
    <col min="15376" max="15376" width="6.7109375" style="194" customWidth="1"/>
    <col min="15377" max="15377" width="7.7109375" style="194" customWidth="1"/>
    <col min="15378" max="15378" width="5.7109375" style="194" customWidth="1"/>
    <col min="15379" max="15379" width="6.7109375" style="194" customWidth="1"/>
    <col min="15380" max="15380" width="7.7109375" style="194" customWidth="1"/>
    <col min="15381" max="15381" width="5.7109375" style="194" customWidth="1"/>
    <col min="15382" max="15382" width="2.7109375" style="194" customWidth="1"/>
    <col min="15383" max="15384" width="9.140625" style="194"/>
    <col min="15385" max="15385" width="13.42578125" style="194" customWidth="1"/>
    <col min="15386" max="15616" width="9.140625" style="194"/>
    <col min="15617" max="15618" width="2.7109375" style="194" customWidth="1"/>
    <col min="15619" max="15619" width="15.85546875" style="194" customWidth="1"/>
    <col min="15620" max="15620" width="3.7109375" style="194" customWidth="1"/>
    <col min="15621" max="15621" width="6.7109375" style="194" customWidth="1"/>
    <col min="15622" max="15622" width="2.7109375" style="194" customWidth="1"/>
    <col min="15623" max="15624" width="6.7109375" style="194" customWidth="1"/>
    <col min="15625" max="15629" width="5.7109375" style="194" customWidth="1"/>
    <col min="15630" max="15630" width="3.140625" style="194" bestFit="1" customWidth="1"/>
    <col min="15631" max="15631" width="5.7109375" style="194" customWidth="1"/>
    <col min="15632" max="15632" width="6.7109375" style="194" customWidth="1"/>
    <col min="15633" max="15633" width="7.7109375" style="194" customWidth="1"/>
    <col min="15634" max="15634" width="5.7109375" style="194" customWidth="1"/>
    <col min="15635" max="15635" width="6.7109375" style="194" customWidth="1"/>
    <col min="15636" max="15636" width="7.7109375" style="194" customWidth="1"/>
    <col min="15637" max="15637" width="5.7109375" style="194" customWidth="1"/>
    <col min="15638" max="15638" width="2.7109375" style="194" customWidth="1"/>
    <col min="15639" max="15640" width="9.140625" style="194"/>
    <col min="15641" max="15641" width="13.42578125" style="194" customWidth="1"/>
    <col min="15642" max="15872" width="9.140625" style="194"/>
    <col min="15873" max="15874" width="2.7109375" style="194" customWidth="1"/>
    <col min="15875" max="15875" width="15.85546875" style="194" customWidth="1"/>
    <col min="15876" max="15876" width="3.7109375" style="194" customWidth="1"/>
    <col min="15877" max="15877" width="6.7109375" style="194" customWidth="1"/>
    <col min="15878" max="15878" width="2.7109375" style="194" customWidth="1"/>
    <col min="15879" max="15880" width="6.7109375" style="194" customWidth="1"/>
    <col min="15881" max="15885" width="5.7109375" style="194" customWidth="1"/>
    <col min="15886" max="15886" width="3.140625" style="194" bestFit="1" customWidth="1"/>
    <col min="15887" max="15887" width="5.7109375" style="194" customWidth="1"/>
    <col min="15888" max="15888" width="6.7109375" style="194" customWidth="1"/>
    <col min="15889" max="15889" width="7.7109375" style="194" customWidth="1"/>
    <col min="15890" max="15890" width="5.7109375" style="194" customWidth="1"/>
    <col min="15891" max="15891" width="6.7109375" style="194" customWidth="1"/>
    <col min="15892" max="15892" width="7.7109375" style="194" customWidth="1"/>
    <col min="15893" max="15893" width="5.7109375" style="194" customWidth="1"/>
    <col min="15894" max="15894" width="2.7109375" style="194" customWidth="1"/>
    <col min="15895" max="15896" width="9.140625" style="194"/>
    <col min="15897" max="15897" width="13.42578125" style="194" customWidth="1"/>
    <col min="15898" max="16128" width="9.140625" style="194"/>
    <col min="16129" max="16130" width="2.7109375" style="194" customWidth="1"/>
    <col min="16131" max="16131" width="15.85546875" style="194" customWidth="1"/>
    <col min="16132" max="16132" width="3.7109375" style="194" customWidth="1"/>
    <col min="16133" max="16133" width="6.7109375" style="194" customWidth="1"/>
    <col min="16134" max="16134" width="2.7109375" style="194" customWidth="1"/>
    <col min="16135" max="16136" width="6.7109375" style="194" customWidth="1"/>
    <col min="16137" max="16141" width="5.7109375" style="194" customWidth="1"/>
    <col min="16142" max="16142" width="3.140625" style="194" bestFit="1" customWidth="1"/>
    <col min="16143" max="16143" width="5.7109375" style="194" customWidth="1"/>
    <col min="16144" max="16144" width="6.7109375" style="194" customWidth="1"/>
    <col min="16145" max="16145" width="7.7109375" style="194" customWidth="1"/>
    <col min="16146" max="16146" width="5.7109375" style="194" customWidth="1"/>
    <col min="16147" max="16147" width="6.7109375" style="194" customWidth="1"/>
    <col min="16148" max="16148" width="7.7109375" style="194" customWidth="1"/>
    <col min="16149" max="16149" width="5.7109375" style="194" customWidth="1"/>
    <col min="16150" max="16150" width="2.7109375" style="194" customWidth="1"/>
    <col min="16151" max="16152" width="9.140625" style="194"/>
    <col min="16153" max="16153" width="13.42578125" style="194" customWidth="1"/>
    <col min="16154" max="16384" width="9.140625" style="194"/>
  </cols>
  <sheetData>
    <row r="1" spans="1:22" ht="18" x14ac:dyDescent="0.25">
      <c r="A1" s="1" t="s">
        <v>373</v>
      </c>
      <c r="C1" s="1"/>
      <c r="D1" s="5"/>
      <c r="E1" s="5"/>
      <c r="F1" s="5"/>
      <c r="G1" s="5"/>
      <c r="H1" s="5"/>
      <c r="I1" s="93"/>
      <c r="J1" s="93" t="s">
        <v>374</v>
      </c>
      <c r="K1" s="6"/>
      <c r="L1" s="6"/>
      <c r="M1" s="6"/>
      <c r="N1" s="94"/>
      <c r="O1" s="95"/>
      <c r="P1" s="95"/>
      <c r="Q1" s="95"/>
      <c r="R1" s="95"/>
      <c r="S1" s="95"/>
      <c r="T1" s="553" t="s">
        <v>375</v>
      </c>
      <c r="U1" s="553"/>
      <c r="V1" s="553"/>
    </row>
    <row r="2" spans="1:22" ht="15.75" x14ac:dyDescent="0.25">
      <c r="A2" s="1" t="s">
        <v>376</v>
      </c>
      <c r="C2" s="1"/>
      <c r="D2" s="6"/>
      <c r="E2" s="10"/>
      <c r="F2" s="10"/>
      <c r="G2" s="10"/>
      <c r="H2" s="6"/>
      <c r="I2" s="10"/>
      <c r="J2" s="10"/>
      <c r="K2" s="10"/>
      <c r="L2" s="10"/>
      <c r="M2" s="10"/>
      <c r="N2" s="96"/>
      <c r="O2" s="97"/>
      <c r="P2" s="97"/>
      <c r="Q2" s="97"/>
      <c r="R2" s="98"/>
      <c r="S2" s="98"/>
      <c r="T2" s="11" t="s">
        <v>377</v>
      </c>
      <c r="U2" s="11"/>
      <c r="V2" s="11"/>
    </row>
    <row r="3" spans="1:22" x14ac:dyDescent="0.25">
      <c r="A3" s="6"/>
      <c r="B3" s="195"/>
      <c r="C3" s="6"/>
      <c r="D3" s="6"/>
      <c r="E3" s="6"/>
      <c r="F3" s="6"/>
      <c r="G3" s="6"/>
      <c r="H3" s="589" t="s">
        <v>423</v>
      </c>
      <c r="I3" s="589"/>
      <c r="J3" s="589"/>
      <c r="K3" s="589"/>
      <c r="L3" s="553"/>
      <c r="M3" s="553"/>
      <c r="N3" s="99"/>
      <c r="O3" s="97"/>
      <c r="P3" s="97"/>
      <c r="Q3" s="97"/>
      <c r="R3" s="98"/>
      <c r="S3" s="98"/>
      <c r="T3" s="11" t="s">
        <v>378</v>
      </c>
      <c r="U3" s="11"/>
      <c r="V3" s="11"/>
    </row>
    <row r="4" spans="1:22" ht="15.75" thickBot="1" x14ac:dyDescent="0.3">
      <c r="A4" s="100" t="s">
        <v>379</v>
      </c>
      <c r="B4" s="101"/>
      <c r="C4" s="100"/>
      <c r="D4" s="100"/>
      <c r="E4" s="100"/>
      <c r="F4" s="100"/>
      <c r="G4" s="100"/>
      <c r="H4" s="100" t="s">
        <v>23</v>
      </c>
      <c r="I4" s="100"/>
      <c r="J4" s="100"/>
      <c r="K4" s="100"/>
      <c r="L4" s="100"/>
      <c r="M4" s="102"/>
      <c r="N4" s="103"/>
      <c r="O4" s="101"/>
      <c r="P4" s="101"/>
      <c r="Q4" s="101"/>
      <c r="R4" s="101"/>
      <c r="S4" s="101"/>
      <c r="T4" s="100" t="s">
        <v>380</v>
      </c>
      <c r="U4" s="100"/>
      <c r="V4" s="6"/>
    </row>
    <row r="5" spans="1:22" x14ac:dyDescent="0.25">
      <c r="A5" s="104"/>
      <c r="B5" s="105"/>
      <c r="C5" s="105"/>
      <c r="D5" s="106"/>
      <c r="E5" s="107" t="s">
        <v>367</v>
      </c>
      <c r="F5" s="108"/>
      <c r="G5" s="107" t="s">
        <v>368</v>
      </c>
      <c r="H5" s="108"/>
      <c r="I5" s="109" t="s">
        <v>369</v>
      </c>
      <c r="J5" s="110"/>
      <c r="K5" s="110"/>
      <c r="L5" s="110"/>
      <c r="M5" s="110"/>
      <c r="N5" s="111"/>
      <c r="O5" s="110"/>
      <c r="P5" s="112"/>
      <c r="Q5" s="107" t="s">
        <v>381</v>
      </c>
      <c r="R5" s="110"/>
      <c r="S5" s="112"/>
      <c r="T5" s="113"/>
      <c r="U5" s="114"/>
      <c r="V5" s="115"/>
    </row>
    <row r="6" spans="1:22" x14ac:dyDescent="0.25">
      <c r="A6" s="116" t="s">
        <v>382</v>
      </c>
      <c r="B6" s="117"/>
      <c r="C6" s="117"/>
      <c r="D6" s="118" t="s">
        <v>383</v>
      </c>
      <c r="E6" s="119"/>
      <c r="F6" s="120"/>
      <c r="G6" s="121" t="s">
        <v>12</v>
      </c>
      <c r="H6" s="122" t="s">
        <v>384</v>
      </c>
      <c r="I6" s="123"/>
      <c r="J6" s="124" t="s">
        <v>385</v>
      </c>
      <c r="K6" s="124" t="s">
        <v>370</v>
      </c>
      <c r="L6" s="124" t="s">
        <v>370</v>
      </c>
      <c r="M6" s="124"/>
      <c r="N6" s="125"/>
      <c r="O6" s="121" t="s">
        <v>386</v>
      </c>
      <c r="P6" s="122" t="s">
        <v>387</v>
      </c>
      <c r="Q6" s="21" t="s">
        <v>388</v>
      </c>
      <c r="R6" s="21" t="s">
        <v>385</v>
      </c>
      <c r="S6" s="126" t="s">
        <v>388</v>
      </c>
      <c r="T6" s="127" t="s">
        <v>14</v>
      </c>
      <c r="U6" s="128" t="s">
        <v>12</v>
      </c>
      <c r="V6" s="129"/>
    </row>
    <row r="7" spans="1:22" ht="19.5" thickBot="1" x14ac:dyDescent="0.3">
      <c r="A7" s="130" t="s">
        <v>389</v>
      </c>
      <c r="B7" s="131"/>
      <c r="C7" s="132"/>
      <c r="D7" s="133" t="s">
        <v>6</v>
      </c>
      <c r="E7" s="134" t="s">
        <v>14</v>
      </c>
      <c r="F7" s="135" t="s">
        <v>12</v>
      </c>
      <c r="G7" s="131" t="s">
        <v>390</v>
      </c>
      <c r="H7" s="136" t="s">
        <v>13</v>
      </c>
      <c r="I7" s="137" t="s">
        <v>370</v>
      </c>
      <c r="J7" s="138" t="s">
        <v>391</v>
      </c>
      <c r="K7" s="138" t="s">
        <v>392</v>
      </c>
      <c r="L7" s="138" t="s">
        <v>393</v>
      </c>
      <c r="M7" s="138" t="s">
        <v>371</v>
      </c>
      <c r="N7" s="139" t="s">
        <v>394</v>
      </c>
      <c r="O7" s="131" t="s">
        <v>395</v>
      </c>
      <c r="P7" s="136" t="s">
        <v>13</v>
      </c>
      <c r="Q7" s="140" t="s">
        <v>396</v>
      </c>
      <c r="R7" s="140" t="s">
        <v>390</v>
      </c>
      <c r="S7" s="136" t="s">
        <v>13</v>
      </c>
      <c r="T7" s="141" t="s">
        <v>390</v>
      </c>
      <c r="U7" s="142" t="s">
        <v>390</v>
      </c>
      <c r="V7" s="143" t="s">
        <v>12</v>
      </c>
    </row>
    <row r="8" spans="1:22" ht="15.75" thickTop="1" x14ac:dyDescent="0.25">
      <c r="A8" s="144"/>
      <c r="B8" s="145"/>
      <c r="C8" s="146"/>
      <c r="D8" s="147"/>
      <c r="E8" s="147"/>
      <c r="F8" s="147"/>
      <c r="G8" s="148"/>
      <c r="H8" s="149">
        <f t="shared" ref="H8:H41" si="0">G8*E8</f>
        <v>0</v>
      </c>
      <c r="I8" s="150"/>
      <c r="J8" s="147"/>
      <c r="K8" s="151" t="e">
        <f t="shared" ref="K8:K41" si="1">E8/J8</f>
        <v>#DIV/0!</v>
      </c>
      <c r="L8" s="147" t="e">
        <f>K8*8</f>
        <v>#DIV/0!</v>
      </c>
      <c r="M8" s="147"/>
      <c r="N8" s="152"/>
      <c r="O8" s="148"/>
      <c r="P8" s="153"/>
      <c r="Q8" s="154"/>
      <c r="R8" s="148"/>
      <c r="S8" s="149"/>
      <c r="T8" s="149">
        <f t="shared" ref="T8:T41" si="2">S8+P8+H8</f>
        <v>0</v>
      </c>
      <c r="U8" s="150" t="e">
        <f t="shared" ref="U8:U41" si="3">T8/E8</f>
        <v>#DIV/0!</v>
      </c>
      <c r="V8" s="155">
        <f t="shared" ref="V8:V41" si="4">F8</f>
        <v>0</v>
      </c>
    </row>
    <row r="9" spans="1:22" x14ac:dyDescent="0.25">
      <c r="A9" s="156"/>
      <c r="B9" s="157"/>
      <c r="C9" s="158"/>
      <c r="D9" s="151"/>
      <c r="E9" s="151"/>
      <c r="F9" s="151"/>
      <c r="G9" s="159"/>
      <c r="H9" s="160">
        <f t="shared" si="0"/>
        <v>0</v>
      </c>
      <c r="I9" s="161"/>
      <c r="J9" s="151"/>
      <c r="K9" s="151" t="e">
        <f t="shared" si="1"/>
        <v>#DIV/0!</v>
      </c>
      <c r="L9" s="151" t="e">
        <f t="shared" ref="L9:L41" si="5">8*K9</f>
        <v>#DIV/0!</v>
      </c>
      <c r="M9" s="151"/>
      <c r="N9" s="162"/>
      <c r="O9" s="159"/>
      <c r="P9" s="163"/>
      <c r="Q9" s="164"/>
      <c r="R9" s="159"/>
      <c r="S9" s="160"/>
      <c r="T9" s="165">
        <f t="shared" si="2"/>
        <v>0</v>
      </c>
      <c r="U9" s="161" t="e">
        <f t="shared" si="3"/>
        <v>#DIV/0!</v>
      </c>
      <c r="V9" s="166">
        <f t="shared" si="4"/>
        <v>0</v>
      </c>
    </row>
    <row r="10" spans="1:22" x14ac:dyDescent="0.25">
      <c r="A10" s="156"/>
      <c r="B10" s="157"/>
      <c r="C10" s="158"/>
      <c r="D10" s="151"/>
      <c r="E10" s="151"/>
      <c r="F10" s="151"/>
      <c r="G10" s="159"/>
      <c r="H10" s="160">
        <f t="shared" si="0"/>
        <v>0</v>
      </c>
      <c r="I10" s="161"/>
      <c r="J10" s="151"/>
      <c r="K10" s="151" t="e">
        <f t="shared" si="1"/>
        <v>#DIV/0!</v>
      </c>
      <c r="L10" s="151" t="e">
        <f t="shared" si="5"/>
        <v>#DIV/0!</v>
      </c>
      <c r="M10" s="167"/>
      <c r="N10" s="168"/>
      <c r="O10" s="159"/>
      <c r="P10" s="163"/>
      <c r="Q10" s="164"/>
      <c r="R10" s="159"/>
      <c r="S10" s="160"/>
      <c r="T10" s="165">
        <f t="shared" si="2"/>
        <v>0</v>
      </c>
      <c r="U10" s="161" t="e">
        <f t="shared" si="3"/>
        <v>#DIV/0!</v>
      </c>
      <c r="V10" s="166">
        <f t="shared" si="4"/>
        <v>0</v>
      </c>
    </row>
    <row r="11" spans="1:22" x14ac:dyDescent="0.25">
      <c r="A11" s="169"/>
      <c r="B11" s="157"/>
      <c r="C11" s="158"/>
      <c r="D11" s="151"/>
      <c r="E11" s="151"/>
      <c r="F11" s="151"/>
      <c r="G11" s="159"/>
      <c r="H11" s="160">
        <f t="shared" si="0"/>
        <v>0</v>
      </c>
      <c r="I11" s="161"/>
      <c r="J11" s="151"/>
      <c r="K11" s="151" t="e">
        <f t="shared" si="1"/>
        <v>#DIV/0!</v>
      </c>
      <c r="L11" s="151" t="e">
        <f t="shared" si="5"/>
        <v>#DIV/0!</v>
      </c>
      <c r="M11" s="151"/>
      <c r="N11" s="162"/>
      <c r="O11" s="159"/>
      <c r="P11" s="163"/>
      <c r="Q11" s="164"/>
      <c r="R11" s="159"/>
      <c r="S11" s="160"/>
      <c r="T11" s="165">
        <f t="shared" si="2"/>
        <v>0</v>
      </c>
      <c r="U11" s="161" t="e">
        <f t="shared" si="3"/>
        <v>#DIV/0!</v>
      </c>
      <c r="V11" s="166">
        <f t="shared" si="4"/>
        <v>0</v>
      </c>
    </row>
    <row r="12" spans="1:22" x14ac:dyDescent="0.25">
      <c r="A12" s="156"/>
      <c r="B12" s="157"/>
      <c r="C12" s="158"/>
      <c r="D12" s="151"/>
      <c r="E12" s="151"/>
      <c r="F12" s="151"/>
      <c r="G12" s="159"/>
      <c r="H12" s="160">
        <f t="shared" si="0"/>
        <v>0</v>
      </c>
      <c r="I12" s="161"/>
      <c r="J12" s="151"/>
      <c r="K12" s="151" t="e">
        <f t="shared" si="1"/>
        <v>#DIV/0!</v>
      </c>
      <c r="L12" s="151" t="e">
        <f t="shared" si="5"/>
        <v>#DIV/0!</v>
      </c>
      <c r="M12" s="151"/>
      <c r="N12" s="162"/>
      <c r="O12" s="159"/>
      <c r="P12" s="163"/>
      <c r="Q12" s="164"/>
      <c r="R12" s="159"/>
      <c r="S12" s="160"/>
      <c r="T12" s="165">
        <f t="shared" si="2"/>
        <v>0</v>
      </c>
      <c r="U12" s="161" t="e">
        <f t="shared" si="3"/>
        <v>#DIV/0!</v>
      </c>
      <c r="V12" s="166">
        <f t="shared" si="4"/>
        <v>0</v>
      </c>
    </row>
    <row r="13" spans="1:22" x14ac:dyDescent="0.25">
      <c r="A13" s="156"/>
      <c r="B13" s="157"/>
      <c r="C13" s="158"/>
      <c r="D13" s="151"/>
      <c r="E13" s="151"/>
      <c r="F13" s="151"/>
      <c r="G13" s="159"/>
      <c r="H13" s="160">
        <f t="shared" si="0"/>
        <v>0</v>
      </c>
      <c r="I13" s="161"/>
      <c r="J13" s="151"/>
      <c r="K13" s="151" t="e">
        <f t="shared" si="1"/>
        <v>#DIV/0!</v>
      </c>
      <c r="L13" s="151" t="e">
        <f t="shared" si="5"/>
        <v>#DIV/0!</v>
      </c>
      <c r="M13" s="151"/>
      <c r="N13" s="162"/>
      <c r="O13" s="159"/>
      <c r="P13" s="163"/>
      <c r="Q13" s="164"/>
      <c r="R13" s="159"/>
      <c r="S13" s="160"/>
      <c r="T13" s="165">
        <f t="shared" si="2"/>
        <v>0</v>
      </c>
      <c r="U13" s="161" t="e">
        <f t="shared" si="3"/>
        <v>#DIV/0!</v>
      </c>
      <c r="V13" s="166">
        <f t="shared" si="4"/>
        <v>0</v>
      </c>
    </row>
    <row r="14" spans="1:22" x14ac:dyDescent="0.25">
      <c r="A14" s="169"/>
      <c r="B14" s="157"/>
      <c r="C14" s="158"/>
      <c r="D14" s="151"/>
      <c r="E14" s="151"/>
      <c r="F14" s="151"/>
      <c r="G14" s="159"/>
      <c r="H14" s="160">
        <f t="shared" si="0"/>
        <v>0</v>
      </c>
      <c r="I14" s="161"/>
      <c r="J14" s="151"/>
      <c r="K14" s="151" t="e">
        <f t="shared" si="1"/>
        <v>#DIV/0!</v>
      </c>
      <c r="L14" s="151" t="e">
        <f t="shared" si="5"/>
        <v>#DIV/0!</v>
      </c>
      <c r="M14" s="151"/>
      <c r="N14" s="162"/>
      <c r="O14" s="159"/>
      <c r="P14" s="163"/>
      <c r="Q14" s="164"/>
      <c r="R14" s="159"/>
      <c r="S14" s="160"/>
      <c r="T14" s="165">
        <f t="shared" si="2"/>
        <v>0</v>
      </c>
      <c r="U14" s="161" t="e">
        <f t="shared" si="3"/>
        <v>#DIV/0!</v>
      </c>
      <c r="V14" s="166">
        <f t="shared" si="4"/>
        <v>0</v>
      </c>
    </row>
    <row r="15" spans="1:22" x14ac:dyDescent="0.25">
      <c r="A15" s="156"/>
      <c r="B15" s="157"/>
      <c r="C15" s="158"/>
      <c r="D15" s="151"/>
      <c r="E15" s="151"/>
      <c r="F15" s="151"/>
      <c r="G15" s="159"/>
      <c r="H15" s="160">
        <f t="shared" si="0"/>
        <v>0</v>
      </c>
      <c r="I15" s="161"/>
      <c r="J15" s="151"/>
      <c r="K15" s="151" t="e">
        <f t="shared" si="1"/>
        <v>#DIV/0!</v>
      </c>
      <c r="L15" s="151" t="e">
        <f t="shared" si="5"/>
        <v>#DIV/0!</v>
      </c>
      <c r="M15" s="151"/>
      <c r="N15" s="162"/>
      <c r="O15" s="159"/>
      <c r="P15" s="163"/>
      <c r="Q15" s="164"/>
      <c r="R15" s="159"/>
      <c r="S15" s="160"/>
      <c r="T15" s="165">
        <f t="shared" si="2"/>
        <v>0</v>
      </c>
      <c r="U15" s="161" t="e">
        <f t="shared" si="3"/>
        <v>#DIV/0!</v>
      </c>
      <c r="V15" s="166">
        <f t="shared" si="4"/>
        <v>0</v>
      </c>
    </row>
    <row r="16" spans="1:22" x14ac:dyDescent="0.25">
      <c r="A16" s="156"/>
      <c r="B16" s="157"/>
      <c r="C16" s="158"/>
      <c r="D16" s="151"/>
      <c r="E16" s="151"/>
      <c r="F16" s="151"/>
      <c r="G16" s="159"/>
      <c r="H16" s="160">
        <f t="shared" si="0"/>
        <v>0</v>
      </c>
      <c r="I16" s="161"/>
      <c r="J16" s="151"/>
      <c r="K16" s="151" t="e">
        <f t="shared" si="1"/>
        <v>#DIV/0!</v>
      </c>
      <c r="L16" s="151" t="e">
        <f t="shared" si="5"/>
        <v>#DIV/0!</v>
      </c>
      <c r="M16" s="151"/>
      <c r="N16" s="162"/>
      <c r="O16" s="159"/>
      <c r="P16" s="163"/>
      <c r="Q16" s="164"/>
      <c r="R16" s="159"/>
      <c r="S16" s="160"/>
      <c r="T16" s="165">
        <f t="shared" si="2"/>
        <v>0</v>
      </c>
      <c r="U16" s="161" t="e">
        <f t="shared" si="3"/>
        <v>#DIV/0!</v>
      </c>
      <c r="V16" s="166">
        <f t="shared" si="4"/>
        <v>0</v>
      </c>
    </row>
    <row r="17" spans="1:22" x14ac:dyDescent="0.25">
      <c r="A17" s="169"/>
      <c r="B17" s="157"/>
      <c r="C17" s="158"/>
      <c r="D17" s="151"/>
      <c r="E17" s="151"/>
      <c r="F17" s="151"/>
      <c r="G17" s="159"/>
      <c r="H17" s="160">
        <f t="shared" si="0"/>
        <v>0</v>
      </c>
      <c r="I17" s="161"/>
      <c r="J17" s="151"/>
      <c r="K17" s="151" t="e">
        <f t="shared" si="1"/>
        <v>#DIV/0!</v>
      </c>
      <c r="L17" s="151" t="e">
        <f t="shared" si="5"/>
        <v>#DIV/0!</v>
      </c>
      <c r="M17" s="151"/>
      <c r="N17" s="162"/>
      <c r="O17" s="159"/>
      <c r="P17" s="163"/>
      <c r="Q17" s="164"/>
      <c r="R17" s="159"/>
      <c r="S17" s="160"/>
      <c r="T17" s="165">
        <f t="shared" si="2"/>
        <v>0</v>
      </c>
      <c r="U17" s="161" t="e">
        <f t="shared" si="3"/>
        <v>#DIV/0!</v>
      </c>
      <c r="V17" s="166">
        <f t="shared" si="4"/>
        <v>0</v>
      </c>
    </row>
    <row r="18" spans="1:22" x14ac:dyDescent="0.25">
      <c r="A18" s="156"/>
      <c r="B18" s="157"/>
      <c r="C18" s="158"/>
      <c r="D18" s="151"/>
      <c r="E18" s="151"/>
      <c r="F18" s="151"/>
      <c r="G18" s="159"/>
      <c r="H18" s="160">
        <f t="shared" si="0"/>
        <v>0</v>
      </c>
      <c r="I18" s="161"/>
      <c r="J18" s="151"/>
      <c r="K18" s="151" t="e">
        <f t="shared" si="1"/>
        <v>#DIV/0!</v>
      </c>
      <c r="L18" s="151" t="e">
        <f t="shared" si="5"/>
        <v>#DIV/0!</v>
      </c>
      <c r="M18" s="151"/>
      <c r="N18" s="162"/>
      <c r="O18" s="159"/>
      <c r="P18" s="163"/>
      <c r="Q18" s="164"/>
      <c r="R18" s="159"/>
      <c r="S18" s="160"/>
      <c r="T18" s="165">
        <f t="shared" si="2"/>
        <v>0</v>
      </c>
      <c r="U18" s="161" t="e">
        <f t="shared" si="3"/>
        <v>#DIV/0!</v>
      </c>
      <c r="V18" s="166">
        <f t="shared" si="4"/>
        <v>0</v>
      </c>
    </row>
    <row r="19" spans="1:22" x14ac:dyDescent="0.25">
      <c r="A19" s="156"/>
      <c r="B19" s="157"/>
      <c r="C19" s="158"/>
      <c r="D19" s="151"/>
      <c r="E19" s="151"/>
      <c r="F19" s="151"/>
      <c r="G19" s="159"/>
      <c r="H19" s="160">
        <f t="shared" si="0"/>
        <v>0</v>
      </c>
      <c r="I19" s="161"/>
      <c r="J19" s="151"/>
      <c r="K19" s="151" t="e">
        <f t="shared" si="1"/>
        <v>#DIV/0!</v>
      </c>
      <c r="L19" s="151" t="e">
        <f t="shared" si="5"/>
        <v>#DIV/0!</v>
      </c>
      <c r="M19" s="151"/>
      <c r="N19" s="162"/>
      <c r="O19" s="159"/>
      <c r="P19" s="163"/>
      <c r="Q19" s="164"/>
      <c r="R19" s="159"/>
      <c r="S19" s="160"/>
      <c r="T19" s="165">
        <f t="shared" si="2"/>
        <v>0</v>
      </c>
      <c r="U19" s="161" t="e">
        <f t="shared" si="3"/>
        <v>#DIV/0!</v>
      </c>
      <c r="V19" s="166">
        <f t="shared" si="4"/>
        <v>0</v>
      </c>
    </row>
    <row r="20" spans="1:22" x14ac:dyDescent="0.25">
      <c r="A20" s="169"/>
      <c r="B20" s="157"/>
      <c r="C20" s="158"/>
      <c r="D20" s="151"/>
      <c r="E20" s="151"/>
      <c r="F20" s="151"/>
      <c r="G20" s="159"/>
      <c r="H20" s="160">
        <f t="shared" si="0"/>
        <v>0</v>
      </c>
      <c r="I20" s="161"/>
      <c r="J20" s="151"/>
      <c r="K20" s="151" t="e">
        <f t="shared" si="1"/>
        <v>#DIV/0!</v>
      </c>
      <c r="L20" s="151" t="e">
        <f t="shared" si="5"/>
        <v>#DIV/0!</v>
      </c>
      <c r="M20" s="151"/>
      <c r="N20" s="162"/>
      <c r="O20" s="159"/>
      <c r="P20" s="163"/>
      <c r="Q20" s="164"/>
      <c r="R20" s="159"/>
      <c r="S20" s="160"/>
      <c r="T20" s="165">
        <f t="shared" si="2"/>
        <v>0</v>
      </c>
      <c r="U20" s="161" t="e">
        <f t="shared" si="3"/>
        <v>#DIV/0!</v>
      </c>
      <c r="V20" s="166">
        <f t="shared" si="4"/>
        <v>0</v>
      </c>
    </row>
    <row r="21" spans="1:22" x14ac:dyDescent="0.25">
      <c r="A21" s="156"/>
      <c r="B21" s="157"/>
      <c r="C21" s="158"/>
      <c r="D21" s="151"/>
      <c r="E21" s="151"/>
      <c r="F21" s="151"/>
      <c r="G21" s="159"/>
      <c r="H21" s="160">
        <f t="shared" si="0"/>
        <v>0</v>
      </c>
      <c r="I21" s="161"/>
      <c r="J21" s="151"/>
      <c r="K21" s="151" t="e">
        <f t="shared" si="1"/>
        <v>#DIV/0!</v>
      </c>
      <c r="L21" s="151" t="e">
        <f t="shared" si="5"/>
        <v>#DIV/0!</v>
      </c>
      <c r="M21" s="151"/>
      <c r="N21" s="162"/>
      <c r="O21" s="159"/>
      <c r="P21" s="163"/>
      <c r="Q21" s="164"/>
      <c r="R21" s="159"/>
      <c r="S21" s="160"/>
      <c r="T21" s="165">
        <f t="shared" si="2"/>
        <v>0</v>
      </c>
      <c r="U21" s="161" t="e">
        <f t="shared" si="3"/>
        <v>#DIV/0!</v>
      </c>
      <c r="V21" s="166">
        <f t="shared" si="4"/>
        <v>0</v>
      </c>
    </row>
    <row r="22" spans="1:22" x14ac:dyDescent="0.25">
      <c r="A22" s="156"/>
      <c r="B22" s="157"/>
      <c r="C22" s="158"/>
      <c r="D22" s="151"/>
      <c r="E22" s="151"/>
      <c r="F22" s="151"/>
      <c r="G22" s="159"/>
      <c r="H22" s="160">
        <f t="shared" si="0"/>
        <v>0</v>
      </c>
      <c r="I22" s="161"/>
      <c r="J22" s="151"/>
      <c r="K22" s="151" t="e">
        <f t="shared" si="1"/>
        <v>#DIV/0!</v>
      </c>
      <c r="L22" s="151" t="e">
        <f t="shared" si="5"/>
        <v>#DIV/0!</v>
      </c>
      <c r="M22" s="151"/>
      <c r="N22" s="162"/>
      <c r="O22" s="159"/>
      <c r="P22" s="163"/>
      <c r="Q22" s="164"/>
      <c r="R22" s="159"/>
      <c r="S22" s="160"/>
      <c r="T22" s="165">
        <f t="shared" si="2"/>
        <v>0</v>
      </c>
      <c r="U22" s="161" t="e">
        <f t="shared" si="3"/>
        <v>#DIV/0!</v>
      </c>
      <c r="V22" s="166">
        <f t="shared" si="4"/>
        <v>0</v>
      </c>
    </row>
    <row r="23" spans="1:22" x14ac:dyDescent="0.25">
      <c r="A23" s="156"/>
      <c r="B23" s="157"/>
      <c r="C23" s="158"/>
      <c r="D23" s="151"/>
      <c r="E23" s="151"/>
      <c r="F23" s="151"/>
      <c r="G23" s="159"/>
      <c r="H23" s="160">
        <f t="shared" si="0"/>
        <v>0</v>
      </c>
      <c r="I23" s="161"/>
      <c r="J23" s="151"/>
      <c r="K23" s="151" t="e">
        <f t="shared" si="1"/>
        <v>#DIV/0!</v>
      </c>
      <c r="L23" s="151" t="e">
        <f t="shared" si="5"/>
        <v>#DIV/0!</v>
      </c>
      <c r="M23" s="151"/>
      <c r="N23" s="162"/>
      <c r="O23" s="159"/>
      <c r="P23" s="163"/>
      <c r="Q23" s="164"/>
      <c r="R23" s="159"/>
      <c r="S23" s="160"/>
      <c r="T23" s="165">
        <f t="shared" si="2"/>
        <v>0</v>
      </c>
      <c r="U23" s="161" t="e">
        <f t="shared" si="3"/>
        <v>#DIV/0!</v>
      </c>
      <c r="V23" s="166">
        <f t="shared" si="4"/>
        <v>0</v>
      </c>
    </row>
    <row r="24" spans="1:22" x14ac:dyDescent="0.25">
      <c r="A24" s="156"/>
      <c r="B24" s="157"/>
      <c r="C24" s="158"/>
      <c r="D24" s="151"/>
      <c r="E24" s="151"/>
      <c r="F24" s="151"/>
      <c r="G24" s="159"/>
      <c r="H24" s="160">
        <f t="shared" si="0"/>
        <v>0</v>
      </c>
      <c r="I24" s="161"/>
      <c r="J24" s="151"/>
      <c r="K24" s="151" t="e">
        <f t="shared" si="1"/>
        <v>#DIV/0!</v>
      </c>
      <c r="L24" s="151" t="e">
        <f t="shared" si="5"/>
        <v>#DIV/0!</v>
      </c>
      <c r="M24" s="151"/>
      <c r="N24" s="162"/>
      <c r="O24" s="159"/>
      <c r="P24" s="163"/>
      <c r="Q24" s="164"/>
      <c r="R24" s="159"/>
      <c r="S24" s="160"/>
      <c r="T24" s="165">
        <f t="shared" si="2"/>
        <v>0</v>
      </c>
      <c r="U24" s="161" t="e">
        <f t="shared" si="3"/>
        <v>#DIV/0!</v>
      </c>
      <c r="V24" s="166">
        <f t="shared" si="4"/>
        <v>0</v>
      </c>
    </row>
    <row r="25" spans="1:22" x14ac:dyDescent="0.25">
      <c r="A25" s="156"/>
      <c r="B25" s="157"/>
      <c r="C25" s="158"/>
      <c r="D25" s="151"/>
      <c r="E25" s="151"/>
      <c r="F25" s="151"/>
      <c r="G25" s="159"/>
      <c r="H25" s="160">
        <f t="shared" si="0"/>
        <v>0</v>
      </c>
      <c r="I25" s="161"/>
      <c r="J25" s="151"/>
      <c r="K25" s="151" t="e">
        <f t="shared" si="1"/>
        <v>#DIV/0!</v>
      </c>
      <c r="L25" s="151" t="e">
        <f t="shared" si="5"/>
        <v>#DIV/0!</v>
      </c>
      <c r="M25" s="151"/>
      <c r="N25" s="162"/>
      <c r="O25" s="159"/>
      <c r="P25" s="163"/>
      <c r="Q25" s="164"/>
      <c r="R25" s="159"/>
      <c r="S25" s="160"/>
      <c r="T25" s="165">
        <f t="shared" si="2"/>
        <v>0</v>
      </c>
      <c r="U25" s="161" t="e">
        <f t="shared" si="3"/>
        <v>#DIV/0!</v>
      </c>
      <c r="V25" s="166">
        <f t="shared" si="4"/>
        <v>0</v>
      </c>
    </row>
    <row r="26" spans="1:22" x14ac:dyDescent="0.25">
      <c r="A26" s="156"/>
      <c r="B26" s="157"/>
      <c r="C26" s="158"/>
      <c r="D26" s="151"/>
      <c r="E26" s="151"/>
      <c r="F26" s="151"/>
      <c r="G26" s="159"/>
      <c r="H26" s="160">
        <f t="shared" si="0"/>
        <v>0</v>
      </c>
      <c r="I26" s="161"/>
      <c r="J26" s="151"/>
      <c r="K26" s="151" t="e">
        <f t="shared" si="1"/>
        <v>#DIV/0!</v>
      </c>
      <c r="L26" s="151" t="e">
        <f t="shared" si="5"/>
        <v>#DIV/0!</v>
      </c>
      <c r="M26" s="151"/>
      <c r="N26" s="162"/>
      <c r="O26" s="159"/>
      <c r="P26" s="163"/>
      <c r="Q26" s="164"/>
      <c r="R26" s="159"/>
      <c r="S26" s="160"/>
      <c r="T26" s="165">
        <f t="shared" si="2"/>
        <v>0</v>
      </c>
      <c r="U26" s="161" t="e">
        <f t="shared" si="3"/>
        <v>#DIV/0!</v>
      </c>
      <c r="V26" s="166">
        <f t="shared" si="4"/>
        <v>0</v>
      </c>
    </row>
    <row r="27" spans="1:22" x14ac:dyDescent="0.25">
      <c r="A27" s="156"/>
      <c r="B27" s="157"/>
      <c r="C27" s="158"/>
      <c r="D27" s="151"/>
      <c r="E27" s="151"/>
      <c r="F27" s="151"/>
      <c r="G27" s="159"/>
      <c r="H27" s="160">
        <f t="shared" si="0"/>
        <v>0</v>
      </c>
      <c r="I27" s="161"/>
      <c r="J27" s="151"/>
      <c r="K27" s="151" t="e">
        <f t="shared" si="1"/>
        <v>#DIV/0!</v>
      </c>
      <c r="L27" s="151" t="e">
        <f t="shared" si="5"/>
        <v>#DIV/0!</v>
      </c>
      <c r="M27" s="151"/>
      <c r="N27" s="162"/>
      <c r="O27" s="159"/>
      <c r="P27" s="163"/>
      <c r="Q27" s="164"/>
      <c r="R27" s="159"/>
      <c r="S27" s="160"/>
      <c r="T27" s="165">
        <f t="shared" si="2"/>
        <v>0</v>
      </c>
      <c r="U27" s="161" t="e">
        <f t="shared" si="3"/>
        <v>#DIV/0!</v>
      </c>
      <c r="V27" s="166">
        <f t="shared" si="4"/>
        <v>0</v>
      </c>
    </row>
    <row r="28" spans="1:22" x14ac:dyDescent="0.25">
      <c r="A28" s="156"/>
      <c r="B28" s="157"/>
      <c r="C28" s="158"/>
      <c r="D28" s="151"/>
      <c r="E28" s="151"/>
      <c r="F28" s="151"/>
      <c r="G28" s="159"/>
      <c r="H28" s="160">
        <f t="shared" si="0"/>
        <v>0</v>
      </c>
      <c r="I28" s="161"/>
      <c r="J28" s="151"/>
      <c r="K28" s="151" t="e">
        <f t="shared" si="1"/>
        <v>#DIV/0!</v>
      </c>
      <c r="L28" s="151" t="e">
        <f t="shared" si="5"/>
        <v>#DIV/0!</v>
      </c>
      <c r="M28" s="151"/>
      <c r="N28" s="162"/>
      <c r="O28" s="159"/>
      <c r="P28" s="163"/>
      <c r="Q28" s="164"/>
      <c r="R28" s="159"/>
      <c r="S28" s="160"/>
      <c r="T28" s="165">
        <f t="shared" si="2"/>
        <v>0</v>
      </c>
      <c r="U28" s="161" t="e">
        <f t="shared" si="3"/>
        <v>#DIV/0!</v>
      </c>
      <c r="V28" s="166">
        <f t="shared" si="4"/>
        <v>0</v>
      </c>
    </row>
    <row r="29" spans="1:22" x14ac:dyDescent="0.25">
      <c r="A29" s="156"/>
      <c r="B29" s="157"/>
      <c r="C29" s="158"/>
      <c r="D29" s="151"/>
      <c r="E29" s="151"/>
      <c r="F29" s="151"/>
      <c r="G29" s="159"/>
      <c r="H29" s="160">
        <f t="shared" si="0"/>
        <v>0</v>
      </c>
      <c r="I29" s="161"/>
      <c r="J29" s="151"/>
      <c r="K29" s="151" t="e">
        <f t="shared" si="1"/>
        <v>#DIV/0!</v>
      </c>
      <c r="L29" s="151" t="e">
        <f t="shared" si="5"/>
        <v>#DIV/0!</v>
      </c>
      <c r="M29" s="151"/>
      <c r="N29" s="162"/>
      <c r="O29" s="159"/>
      <c r="P29" s="163"/>
      <c r="Q29" s="164"/>
      <c r="R29" s="159"/>
      <c r="S29" s="160"/>
      <c r="T29" s="165">
        <f t="shared" si="2"/>
        <v>0</v>
      </c>
      <c r="U29" s="161" t="e">
        <f t="shared" si="3"/>
        <v>#DIV/0!</v>
      </c>
      <c r="V29" s="166">
        <f t="shared" si="4"/>
        <v>0</v>
      </c>
    </row>
    <row r="30" spans="1:22" x14ac:dyDescent="0.25">
      <c r="A30" s="156"/>
      <c r="B30" s="157"/>
      <c r="C30" s="158"/>
      <c r="D30" s="151"/>
      <c r="E30" s="151"/>
      <c r="F30" s="151"/>
      <c r="G30" s="159"/>
      <c r="H30" s="160">
        <f t="shared" si="0"/>
        <v>0</v>
      </c>
      <c r="I30" s="161"/>
      <c r="J30" s="151"/>
      <c r="K30" s="151" t="e">
        <f t="shared" si="1"/>
        <v>#DIV/0!</v>
      </c>
      <c r="L30" s="151" t="e">
        <f t="shared" si="5"/>
        <v>#DIV/0!</v>
      </c>
      <c r="M30" s="151"/>
      <c r="N30" s="162"/>
      <c r="O30" s="159"/>
      <c r="P30" s="163"/>
      <c r="Q30" s="164"/>
      <c r="R30" s="159"/>
      <c r="S30" s="160"/>
      <c r="T30" s="165">
        <f t="shared" si="2"/>
        <v>0</v>
      </c>
      <c r="U30" s="161" t="e">
        <f t="shared" si="3"/>
        <v>#DIV/0!</v>
      </c>
      <c r="V30" s="166">
        <f t="shared" si="4"/>
        <v>0</v>
      </c>
    </row>
    <row r="31" spans="1:22" x14ac:dyDescent="0.25">
      <c r="A31" s="156"/>
      <c r="B31" s="157"/>
      <c r="C31" s="158"/>
      <c r="D31" s="151"/>
      <c r="E31" s="151"/>
      <c r="F31" s="151"/>
      <c r="G31" s="159"/>
      <c r="H31" s="160">
        <f t="shared" si="0"/>
        <v>0</v>
      </c>
      <c r="I31" s="161"/>
      <c r="J31" s="151"/>
      <c r="K31" s="151" t="e">
        <f t="shared" si="1"/>
        <v>#DIV/0!</v>
      </c>
      <c r="L31" s="151" t="e">
        <f t="shared" si="5"/>
        <v>#DIV/0!</v>
      </c>
      <c r="M31" s="151"/>
      <c r="N31" s="162"/>
      <c r="O31" s="159"/>
      <c r="P31" s="163"/>
      <c r="Q31" s="164"/>
      <c r="R31" s="159"/>
      <c r="S31" s="160"/>
      <c r="T31" s="165">
        <f t="shared" si="2"/>
        <v>0</v>
      </c>
      <c r="U31" s="161" t="e">
        <f t="shared" si="3"/>
        <v>#DIV/0!</v>
      </c>
      <c r="V31" s="166">
        <f t="shared" si="4"/>
        <v>0</v>
      </c>
    </row>
    <row r="32" spans="1:22" x14ac:dyDescent="0.25">
      <c r="A32" s="156"/>
      <c r="B32" s="157"/>
      <c r="C32" s="158"/>
      <c r="D32" s="151"/>
      <c r="E32" s="151"/>
      <c r="F32" s="151"/>
      <c r="G32" s="159"/>
      <c r="H32" s="160">
        <f t="shared" si="0"/>
        <v>0</v>
      </c>
      <c r="I32" s="161"/>
      <c r="J32" s="151"/>
      <c r="K32" s="151" t="e">
        <f t="shared" si="1"/>
        <v>#DIV/0!</v>
      </c>
      <c r="L32" s="151" t="e">
        <f t="shared" si="5"/>
        <v>#DIV/0!</v>
      </c>
      <c r="M32" s="151"/>
      <c r="N32" s="162"/>
      <c r="O32" s="159"/>
      <c r="P32" s="163"/>
      <c r="Q32" s="164"/>
      <c r="R32" s="159"/>
      <c r="S32" s="160"/>
      <c r="T32" s="165">
        <f t="shared" si="2"/>
        <v>0</v>
      </c>
      <c r="U32" s="161" t="e">
        <f t="shared" si="3"/>
        <v>#DIV/0!</v>
      </c>
      <c r="V32" s="166">
        <f t="shared" si="4"/>
        <v>0</v>
      </c>
    </row>
    <row r="33" spans="1:22" x14ac:dyDescent="0.25">
      <c r="A33" s="156"/>
      <c r="B33" s="157"/>
      <c r="C33" s="158"/>
      <c r="D33" s="151"/>
      <c r="E33" s="151"/>
      <c r="F33" s="151"/>
      <c r="G33" s="159"/>
      <c r="H33" s="160">
        <f t="shared" si="0"/>
        <v>0</v>
      </c>
      <c r="I33" s="161"/>
      <c r="J33" s="151"/>
      <c r="K33" s="151" t="e">
        <f t="shared" si="1"/>
        <v>#DIV/0!</v>
      </c>
      <c r="L33" s="151" t="e">
        <f t="shared" si="5"/>
        <v>#DIV/0!</v>
      </c>
      <c r="M33" s="151"/>
      <c r="N33" s="162"/>
      <c r="O33" s="159"/>
      <c r="P33" s="163"/>
      <c r="Q33" s="164"/>
      <c r="R33" s="159"/>
      <c r="S33" s="160"/>
      <c r="T33" s="165">
        <f t="shared" si="2"/>
        <v>0</v>
      </c>
      <c r="U33" s="161" t="e">
        <f t="shared" si="3"/>
        <v>#DIV/0!</v>
      </c>
      <c r="V33" s="166">
        <f t="shared" si="4"/>
        <v>0</v>
      </c>
    </row>
    <row r="34" spans="1:22" x14ac:dyDescent="0.25">
      <c r="A34" s="156"/>
      <c r="B34" s="157"/>
      <c r="C34" s="158"/>
      <c r="D34" s="151"/>
      <c r="E34" s="151"/>
      <c r="F34" s="151"/>
      <c r="G34" s="159"/>
      <c r="H34" s="160">
        <f t="shared" si="0"/>
        <v>0</v>
      </c>
      <c r="I34" s="161"/>
      <c r="J34" s="151"/>
      <c r="K34" s="151" t="e">
        <f t="shared" si="1"/>
        <v>#DIV/0!</v>
      </c>
      <c r="L34" s="151" t="e">
        <f t="shared" si="5"/>
        <v>#DIV/0!</v>
      </c>
      <c r="M34" s="151"/>
      <c r="N34" s="162"/>
      <c r="O34" s="159"/>
      <c r="P34" s="163"/>
      <c r="Q34" s="164"/>
      <c r="R34" s="159"/>
      <c r="S34" s="160"/>
      <c r="T34" s="165">
        <f t="shared" si="2"/>
        <v>0</v>
      </c>
      <c r="U34" s="161" t="e">
        <f t="shared" si="3"/>
        <v>#DIV/0!</v>
      </c>
      <c r="V34" s="166">
        <f t="shared" si="4"/>
        <v>0</v>
      </c>
    </row>
    <row r="35" spans="1:22" x14ac:dyDescent="0.25">
      <c r="A35" s="156"/>
      <c r="B35" s="157"/>
      <c r="C35" s="158"/>
      <c r="D35" s="151"/>
      <c r="E35" s="151"/>
      <c r="F35" s="151"/>
      <c r="G35" s="159"/>
      <c r="H35" s="160">
        <f t="shared" si="0"/>
        <v>0</v>
      </c>
      <c r="I35" s="161"/>
      <c r="J35" s="151"/>
      <c r="K35" s="151" t="e">
        <f t="shared" si="1"/>
        <v>#DIV/0!</v>
      </c>
      <c r="L35" s="151" t="e">
        <f t="shared" si="5"/>
        <v>#DIV/0!</v>
      </c>
      <c r="M35" s="151"/>
      <c r="N35" s="162"/>
      <c r="O35" s="159"/>
      <c r="P35" s="163"/>
      <c r="Q35" s="164"/>
      <c r="R35" s="159"/>
      <c r="S35" s="160"/>
      <c r="T35" s="165">
        <f t="shared" si="2"/>
        <v>0</v>
      </c>
      <c r="U35" s="161" t="e">
        <f t="shared" si="3"/>
        <v>#DIV/0!</v>
      </c>
      <c r="V35" s="166">
        <f t="shared" si="4"/>
        <v>0</v>
      </c>
    </row>
    <row r="36" spans="1:22" x14ac:dyDescent="0.25">
      <c r="A36" s="156"/>
      <c r="B36" s="157"/>
      <c r="C36" s="158"/>
      <c r="D36" s="151"/>
      <c r="E36" s="151"/>
      <c r="F36" s="151"/>
      <c r="G36" s="159"/>
      <c r="H36" s="160">
        <f t="shared" si="0"/>
        <v>0</v>
      </c>
      <c r="I36" s="161"/>
      <c r="J36" s="151"/>
      <c r="K36" s="151" t="e">
        <f t="shared" si="1"/>
        <v>#DIV/0!</v>
      </c>
      <c r="L36" s="151" t="e">
        <f t="shared" si="5"/>
        <v>#DIV/0!</v>
      </c>
      <c r="M36" s="151"/>
      <c r="N36" s="162"/>
      <c r="O36" s="159"/>
      <c r="P36" s="163"/>
      <c r="Q36" s="164"/>
      <c r="R36" s="159"/>
      <c r="S36" s="160"/>
      <c r="T36" s="165">
        <f t="shared" si="2"/>
        <v>0</v>
      </c>
      <c r="U36" s="161" t="e">
        <f t="shared" si="3"/>
        <v>#DIV/0!</v>
      </c>
      <c r="V36" s="166">
        <f t="shared" si="4"/>
        <v>0</v>
      </c>
    </row>
    <row r="37" spans="1:22" x14ac:dyDescent="0.25">
      <c r="A37" s="156"/>
      <c r="B37" s="157"/>
      <c r="C37" s="158"/>
      <c r="D37" s="151"/>
      <c r="E37" s="151"/>
      <c r="F37" s="151"/>
      <c r="G37" s="159"/>
      <c r="H37" s="160">
        <f t="shared" si="0"/>
        <v>0</v>
      </c>
      <c r="I37" s="161"/>
      <c r="J37" s="151"/>
      <c r="K37" s="151" t="e">
        <f t="shared" si="1"/>
        <v>#DIV/0!</v>
      </c>
      <c r="L37" s="151" t="e">
        <f t="shared" si="5"/>
        <v>#DIV/0!</v>
      </c>
      <c r="M37" s="151"/>
      <c r="N37" s="162"/>
      <c r="O37" s="159"/>
      <c r="P37" s="163"/>
      <c r="Q37" s="164"/>
      <c r="R37" s="159"/>
      <c r="S37" s="160"/>
      <c r="T37" s="165">
        <f t="shared" si="2"/>
        <v>0</v>
      </c>
      <c r="U37" s="161" t="e">
        <f t="shared" si="3"/>
        <v>#DIV/0!</v>
      </c>
      <c r="V37" s="166">
        <f t="shared" si="4"/>
        <v>0</v>
      </c>
    </row>
    <row r="38" spans="1:22" x14ac:dyDescent="0.25">
      <c r="A38" s="156"/>
      <c r="B38" s="157"/>
      <c r="C38" s="158"/>
      <c r="D38" s="151"/>
      <c r="E38" s="151"/>
      <c r="F38" s="151"/>
      <c r="G38" s="159"/>
      <c r="H38" s="160">
        <f t="shared" si="0"/>
        <v>0</v>
      </c>
      <c r="I38" s="161"/>
      <c r="J38" s="151"/>
      <c r="K38" s="151" t="e">
        <f t="shared" si="1"/>
        <v>#DIV/0!</v>
      </c>
      <c r="L38" s="151" t="e">
        <f t="shared" si="5"/>
        <v>#DIV/0!</v>
      </c>
      <c r="M38" s="151"/>
      <c r="N38" s="162"/>
      <c r="O38" s="159"/>
      <c r="P38" s="163"/>
      <c r="Q38" s="164"/>
      <c r="R38" s="159"/>
      <c r="S38" s="160"/>
      <c r="T38" s="165">
        <f t="shared" si="2"/>
        <v>0</v>
      </c>
      <c r="U38" s="161" t="e">
        <f t="shared" si="3"/>
        <v>#DIV/0!</v>
      </c>
      <c r="V38" s="166">
        <f t="shared" si="4"/>
        <v>0</v>
      </c>
    </row>
    <row r="39" spans="1:22" x14ac:dyDescent="0.25">
      <c r="A39" s="156"/>
      <c r="B39" s="157"/>
      <c r="C39" s="158"/>
      <c r="D39" s="151"/>
      <c r="E39" s="151"/>
      <c r="F39" s="151"/>
      <c r="G39" s="159"/>
      <c r="H39" s="160">
        <f t="shared" si="0"/>
        <v>0</v>
      </c>
      <c r="I39" s="161"/>
      <c r="J39" s="151"/>
      <c r="K39" s="151" t="e">
        <f t="shared" si="1"/>
        <v>#DIV/0!</v>
      </c>
      <c r="L39" s="151" t="e">
        <f t="shared" si="5"/>
        <v>#DIV/0!</v>
      </c>
      <c r="M39" s="151"/>
      <c r="N39" s="162"/>
      <c r="O39" s="159"/>
      <c r="P39" s="163"/>
      <c r="Q39" s="164"/>
      <c r="R39" s="159"/>
      <c r="S39" s="160"/>
      <c r="T39" s="165">
        <f t="shared" si="2"/>
        <v>0</v>
      </c>
      <c r="U39" s="161" t="e">
        <f t="shared" si="3"/>
        <v>#DIV/0!</v>
      </c>
      <c r="V39" s="166">
        <f t="shared" si="4"/>
        <v>0</v>
      </c>
    </row>
    <row r="40" spans="1:22" x14ac:dyDescent="0.25">
      <c r="A40" s="156"/>
      <c r="B40" s="157"/>
      <c r="C40" s="158"/>
      <c r="D40" s="151"/>
      <c r="E40" s="151"/>
      <c r="F40" s="151"/>
      <c r="G40" s="159"/>
      <c r="H40" s="160">
        <f t="shared" si="0"/>
        <v>0</v>
      </c>
      <c r="I40" s="161"/>
      <c r="J40" s="151"/>
      <c r="K40" s="151" t="e">
        <f t="shared" si="1"/>
        <v>#DIV/0!</v>
      </c>
      <c r="L40" s="151" t="e">
        <f t="shared" si="5"/>
        <v>#DIV/0!</v>
      </c>
      <c r="M40" s="151"/>
      <c r="N40" s="162"/>
      <c r="O40" s="159"/>
      <c r="P40" s="163"/>
      <c r="Q40" s="164"/>
      <c r="R40" s="159"/>
      <c r="S40" s="160"/>
      <c r="T40" s="165">
        <f t="shared" si="2"/>
        <v>0</v>
      </c>
      <c r="U40" s="161" t="e">
        <f t="shared" si="3"/>
        <v>#DIV/0!</v>
      </c>
      <c r="V40" s="166">
        <f t="shared" si="4"/>
        <v>0</v>
      </c>
    </row>
    <row r="41" spans="1:22" ht="15.75" thickBot="1" x14ac:dyDescent="0.3">
      <c r="A41" s="170"/>
      <c r="B41" s="171"/>
      <c r="C41" s="172"/>
      <c r="D41" s="173"/>
      <c r="E41" s="173"/>
      <c r="F41" s="173"/>
      <c r="G41" s="174"/>
      <c r="H41" s="175">
        <f t="shared" si="0"/>
        <v>0</v>
      </c>
      <c r="I41" s="176"/>
      <c r="J41" s="173"/>
      <c r="K41" s="167" t="e">
        <f t="shared" si="1"/>
        <v>#DIV/0!</v>
      </c>
      <c r="L41" s="167" t="e">
        <f t="shared" si="5"/>
        <v>#DIV/0!</v>
      </c>
      <c r="M41" s="173"/>
      <c r="N41" s="177"/>
      <c r="O41" s="174"/>
      <c r="P41" s="178"/>
      <c r="Q41" s="179"/>
      <c r="R41" s="174"/>
      <c r="S41" s="180"/>
      <c r="T41" s="181">
        <f t="shared" si="2"/>
        <v>0</v>
      </c>
      <c r="U41" s="182" t="e">
        <f t="shared" si="3"/>
        <v>#DIV/0!</v>
      </c>
      <c r="V41" s="166">
        <f t="shared" si="4"/>
        <v>0</v>
      </c>
    </row>
    <row r="42" spans="1:22" ht="15.75" thickBot="1" x14ac:dyDescent="0.3">
      <c r="A42" s="183"/>
      <c r="B42" s="184"/>
      <c r="C42" s="184"/>
      <c r="D42" s="185"/>
      <c r="E42" s="185"/>
      <c r="F42" s="185"/>
      <c r="G42" s="185"/>
      <c r="H42" s="186">
        <f>SUM(H8:H41)</f>
        <v>0</v>
      </c>
      <c r="I42" s="187"/>
      <c r="J42" s="188"/>
      <c r="K42" s="186" t="e">
        <f>SUM(K8:K41)</f>
        <v>#DIV/0!</v>
      </c>
      <c r="L42" s="186" t="e">
        <f>SUM(L8:L41)</f>
        <v>#DIV/0!</v>
      </c>
      <c r="M42" s="187"/>
      <c r="N42" s="189"/>
      <c r="O42" s="188"/>
      <c r="P42" s="186">
        <f>SUM(P8:P41)</f>
        <v>0</v>
      </c>
      <c r="Q42" s="187"/>
      <c r="R42" s="188"/>
      <c r="S42" s="190">
        <f>SUM(S8:S41)</f>
        <v>0</v>
      </c>
      <c r="T42" s="186">
        <f>SUM(T8:T41)</f>
        <v>0</v>
      </c>
      <c r="U42" s="191" t="s">
        <v>397</v>
      </c>
      <c r="V42" s="192"/>
    </row>
    <row r="43" spans="1:22" x14ac:dyDescent="0.25">
      <c r="N43" s="74"/>
    </row>
    <row r="44" spans="1:22" x14ac:dyDescent="0.25">
      <c r="N44" s="74"/>
    </row>
    <row r="45" spans="1:22" x14ac:dyDescent="0.25">
      <c r="N45" s="74"/>
    </row>
    <row r="46" spans="1:22" x14ac:dyDescent="0.25">
      <c r="N46" s="74"/>
    </row>
    <row r="47" spans="1:22" x14ac:dyDescent="0.25">
      <c r="N47" s="74"/>
    </row>
    <row r="48" spans="1:22" x14ac:dyDescent="0.25">
      <c r="N48" s="74"/>
    </row>
    <row r="49" spans="14:14" x14ac:dyDescent="0.25">
      <c r="N49" s="74"/>
    </row>
    <row r="50" spans="14:14" x14ac:dyDescent="0.25">
      <c r="N50" s="74"/>
    </row>
    <row r="51" spans="14:14" x14ac:dyDescent="0.25">
      <c r="N51" s="74"/>
    </row>
    <row r="52" spans="14:14" x14ac:dyDescent="0.25">
      <c r="N52" s="74"/>
    </row>
    <row r="53" spans="14:14" x14ac:dyDescent="0.25">
      <c r="N53" s="74"/>
    </row>
    <row r="54" spans="14:14" x14ac:dyDescent="0.25">
      <c r="N54" s="74"/>
    </row>
    <row r="55" spans="14:14" x14ac:dyDescent="0.25">
      <c r="N55" s="74"/>
    </row>
    <row r="56" spans="14:14" x14ac:dyDescent="0.25">
      <c r="N56" s="74"/>
    </row>
    <row r="57" spans="14:14" x14ac:dyDescent="0.25">
      <c r="N57" s="74"/>
    </row>
    <row r="58" spans="14:14" x14ac:dyDescent="0.25">
      <c r="N58" s="74"/>
    </row>
    <row r="59" spans="14:14" x14ac:dyDescent="0.25">
      <c r="N59" s="74"/>
    </row>
    <row r="60" spans="14:14" x14ac:dyDescent="0.25">
      <c r="N60" s="74"/>
    </row>
    <row r="61" spans="14:14" x14ac:dyDescent="0.25">
      <c r="N61" s="74"/>
    </row>
    <row r="62" spans="14:14" x14ac:dyDescent="0.25">
      <c r="N62" s="74"/>
    </row>
    <row r="63" spans="14:14" x14ac:dyDescent="0.25">
      <c r="N63" s="74"/>
    </row>
    <row r="64" spans="14:14" x14ac:dyDescent="0.25">
      <c r="N64" s="74"/>
    </row>
    <row r="65" spans="14:14" x14ac:dyDescent="0.25">
      <c r="N65" s="74"/>
    </row>
    <row r="66" spans="14:14" x14ac:dyDescent="0.25">
      <c r="N66" s="74"/>
    </row>
    <row r="67" spans="14:14" x14ac:dyDescent="0.25">
      <c r="N67" s="74"/>
    </row>
    <row r="68" spans="14:14" x14ac:dyDescent="0.25">
      <c r="N68" s="74"/>
    </row>
    <row r="69" spans="14:14" x14ac:dyDescent="0.25">
      <c r="N69" s="74"/>
    </row>
    <row r="70" spans="14:14" x14ac:dyDescent="0.25">
      <c r="N70" s="74"/>
    </row>
    <row r="71" spans="14:14" x14ac:dyDescent="0.25">
      <c r="N71" s="74"/>
    </row>
    <row r="72" spans="14:14" x14ac:dyDescent="0.25">
      <c r="N72" s="74"/>
    </row>
    <row r="73" spans="14:14" x14ac:dyDescent="0.25">
      <c r="N73" s="74"/>
    </row>
    <row r="74" spans="14:14" x14ac:dyDescent="0.25">
      <c r="N74" s="74"/>
    </row>
    <row r="75" spans="14:14" x14ac:dyDescent="0.25">
      <c r="N75" s="74"/>
    </row>
    <row r="76" spans="14:14" x14ac:dyDescent="0.25">
      <c r="N76" s="74"/>
    </row>
    <row r="77" spans="14:14" x14ac:dyDescent="0.25">
      <c r="N77" s="74"/>
    </row>
    <row r="78" spans="14:14" x14ac:dyDescent="0.25">
      <c r="N78" s="74"/>
    </row>
    <row r="79" spans="14:14" x14ac:dyDescent="0.25">
      <c r="N79" s="74"/>
    </row>
    <row r="80" spans="14:14" x14ac:dyDescent="0.25">
      <c r="N80" s="74"/>
    </row>
    <row r="81" spans="14:14" x14ac:dyDescent="0.25">
      <c r="N81" s="74"/>
    </row>
    <row r="82" spans="14:14" x14ac:dyDescent="0.25">
      <c r="N82" s="74"/>
    </row>
    <row r="83" spans="14:14" x14ac:dyDescent="0.25">
      <c r="N83" s="74"/>
    </row>
    <row r="84" spans="14:14" x14ac:dyDescent="0.25">
      <c r="N84" s="74"/>
    </row>
    <row r="85" spans="14:14" x14ac:dyDescent="0.25">
      <c r="N85" s="74"/>
    </row>
    <row r="86" spans="14:14" x14ac:dyDescent="0.25">
      <c r="N86" s="74"/>
    </row>
    <row r="87" spans="14:14" x14ac:dyDescent="0.25">
      <c r="N87" s="74"/>
    </row>
    <row r="88" spans="14:14" x14ac:dyDescent="0.25">
      <c r="N88" s="74"/>
    </row>
    <row r="89" spans="14:14" x14ac:dyDescent="0.25">
      <c r="N89" s="74"/>
    </row>
    <row r="90" spans="14:14" x14ac:dyDescent="0.25">
      <c r="N90" s="74"/>
    </row>
    <row r="91" spans="14:14" x14ac:dyDescent="0.25">
      <c r="N91" s="74"/>
    </row>
    <row r="92" spans="14:14" x14ac:dyDescent="0.25">
      <c r="N92" s="74"/>
    </row>
    <row r="93" spans="14:14" x14ac:dyDescent="0.25">
      <c r="N93" s="74"/>
    </row>
    <row r="94" spans="14:14" x14ac:dyDescent="0.25">
      <c r="N94" s="74"/>
    </row>
    <row r="95" spans="14:14" x14ac:dyDescent="0.25">
      <c r="N95" s="74"/>
    </row>
    <row r="96" spans="14:14" x14ac:dyDescent="0.25">
      <c r="N96" s="74"/>
    </row>
    <row r="97" spans="14:14" x14ac:dyDescent="0.25">
      <c r="N97" s="74"/>
    </row>
    <row r="98" spans="14:14" x14ac:dyDescent="0.25">
      <c r="N98" s="74"/>
    </row>
    <row r="99" spans="14:14" x14ac:dyDescent="0.25">
      <c r="N99" s="74"/>
    </row>
    <row r="100" spans="14:14" x14ac:dyDescent="0.25">
      <c r="N100" s="74"/>
    </row>
    <row r="101" spans="14:14" x14ac:dyDescent="0.25">
      <c r="N101" s="74"/>
    </row>
    <row r="102" spans="14:14" x14ac:dyDescent="0.25">
      <c r="N102" s="74"/>
    </row>
    <row r="103" spans="14:14" x14ac:dyDescent="0.25">
      <c r="N103" s="74"/>
    </row>
    <row r="104" spans="14:14" x14ac:dyDescent="0.25">
      <c r="N104" s="74"/>
    </row>
    <row r="105" spans="14:14" x14ac:dyDescent="0.25">
      <c r="N105" s="74"/>
    </row>
    <row r="106" spans="14:14" x14ac:dyDescent="0.25">
      <c r="N106" s="74"/>
    </row>
    <row r="107" spans="14:14" x14ac:dyDescent="0.25">
      <c r="N107" s="74"/>
    </row>
    <row r="108" spans="14:14" x14ac:dyDescent="0.25">
      <c r="N108" s="74"/>
    </row>
    <row r="109" spans="14:14" x14ac:dyDescent="0.25">
      <c r="N109" s="74"/>
    </row>
    <row r="110" spans="14:14" x14ac:dyDescent="0.25">
      <c r="N110" s="74"/>
    </row>
    <row r="111" spans="14:14" x14ac:dyDescent="0.25">
      <c r="N111" s="74"/>
    </row>
    <row r="112" spans="14:14" x14ac:dyDescent="0.25">
      <c r="N112" s="74"/>
    </row>
    <row r="113" spans="14:14" x14ac:dyDescent="0.25">
      <c r="N113" s="74"/>
    </row>
    <row r="114" spans="14:14" x14ac:dyDescent="0.25">
      <c r="N114" s="74"/>
    </row>
    <row r="115" spans="14:14" x14ac:dyDescent="0.25">
      <c r="N115" s="74"/>
    </row>
    <row r="116" spans="14:14" x14ac:dyDescent="0.25">
      <c r="N116" s="74"/>
    </row>
    <row r="117" spans="14:14" x14ac:dyDescent="0.25">
      <c r="N117" s="74"/>
    </row>
    <row r="118" spans="14:14" x14ac:dyDescent="0.25">
      <c r="N118" s="74"/>
    </row>
    <row r="119" spans="14:14" x14ac:dyDescent="0.25">
      <c r="N119" s="74"/>
    </row>
    <row r="120" spans="14:14" x14ac:dyDescent="0.25">
      <c r="N120" s="74"/>
    </row>
    <row r="121" spans="14:14" x14ac:dyDescent="0.25">
      <c r="N121" s="74"/>
    </row>
    <row r="122" spans="14:14" x14ac:dyDescent="0.25">
      <c r="N122" s="74"/>
    </row>
    <row r="123" spans="14:14" x14ac:dyDescent="0.25">
      <c r="N123" s="74"/>
    </row>
    <row r="124" spans="14:14" x14ac:dyDescent="0.25">
      <c r="N124" s="74"/>
    </row>
    <row r="125" spans="14:14" x14ac:dyDescent="0.25">
      <c r="N125" s="74"/>
    </row>
    <row r="126" spans="14:14" x14ac:dyDescent="0.25">
      <c r="N126" s="74"/>
    </row>
    <row r="127" spans="14:14" x14ac:dyDescent="0.25">
      <c r="N127" s="74"/>
    </row>
    <row r="128" spans="14:14" x14ac:dyDescent="0.25">
      <c r="N128" s="74"/>
    </row>
    <row r="129" spans="14:14" x14ac:dyDescent="0.25">
      <c r="N129" s="74"/>
    </row>
    <row r="130" spans="14:14" x14ac:dyDescent="0.25">
      <c r="N130" s="74"/>
    </row>
    <row r="131" spans="14:14" x14ac:dyDescent="0.25">
      <c r="N131" s="74"/>
    </row>
    <row r="132" spans="14:14" x14ac:dyDescent="0.25">
      <c r="N132" s="74"/>
    </row>
    <row r="133" spans="14:14" x14ac:dyDescent="0.25">
      <c r="N133" s="74"/>
    </row>
    <row r="134" spans="14:14" x14ac:dyDescent="0.25">
      <c r="N134" s="74"/>
    </row>
    <row r="135" spans="14:14" x14ac:dyDescent="0.25">
      <c r="N135" s="74"/>
    </row>
    <row r="136" spans="14:14" x14ac:dyDescent="0.25">
      <c r="N136" s="74"/>
    </row>
    <row r="137" spans="14:14" x14ac:dyDescent="0.25">
      <c r="N137" s="74"/>
    </row>
    <row r="138" spans="14:14" x14ac:dyDescent="0.25">
      <c r="N138" s="74"/>
    </row>
    <row r="139" spans="14:14" x14ac:dyDescent="0.25">
      <c r="N139" s="74"/>
    </row>
    <row r="140" spans="14:14" x14ac:dyDescent="0.25">
      <c r="N140" s="74"/>
    </row>
    <row r="141" spans="14:14" x14ac:dyDescent="0.25">
      <c r="N141" s="74"/>
    </row>
    <row r="142" spans="14:14" x14ac:dyDescent="0.25">
      <c r="N142" s="74"/>
    </row>
    <row r="143" spans="14:14" x14ac:dyDescent="0.25">
      <c r="N143" s="74"/>
    </row>
    <row r="144" spans="14:14" x14ac:dyDescent="0.25">
      <c r="N144" s="74"/>
    </row>
    <row r="145" spans="14:14" x14ac:dyDescent="0.25">
      <c r="N145" s="74"/>
    </row>
    <row r="146" spans="14:14" x14ac:dyDescent="0.25">
      <c r="N146" s="74"/>
    </row>
    <row r="147" spans="14:14" x14ac:dyDescent="0.25">
      <c r="N147" s="74"/>
    </row>
    <row r="148" spans="14:14" x14ac:dyDescent="0.25">
      <c r="N148" s="74"/>
    </row>
    <row r="149" spans="14:14" x14ac:dyDescent="0.25">
      <c r="N149" s="74"/>
    </row>
    <row r="150" spans="14:14" x14ac:dyDescent="0.25">
      <c r="N150" s="74"/>
    </row>
    <row r="151" spans="14:14" x14ac:dyDescent="0.25">
      <c r="N151" s="74"/>
    </row>
    <row r="152" spans="14:14" x14ac:dyDescent="0.25">
      <c r="N152" s="74"/>
    </row>
    <row r="153" spans="14:14" x14ac:dyDescent="0.25">
      <c r="N153" s="74"/>
    </row>
    <row r="154" spans="14:14" x14ac:dyDescent="0.25">
      <c r="N154" s="74"/>
    </row>
    <row r="155" spans="14:14" x14ac:dyDescent="0.25">
      <c r="N155" s="74"/>
    </row>
    <row r="156" spans="14:14" x14ac:dyDescent="0.25">
      <c r="N156" s="74"/>
    </row>
    <row r="157" spans="14:14" x14ac:dyDescent="0.25">
      <c r="N157" s="74"/>
    </row>
    <row r="158" spans="14:14" x14ac:dyDescent="0.25">
      <c r="N158" s="74"/>
    </row>
    <row r="159" spans="14:14" x14ac:dyDescent="0.25">
      <c r="N159" s="74"/>
    </row>
    <row r="160" spans="14:14" x14ac:dyDescent="0.25">
      <c r="N160" s="74"/>
    </row>
    <row r="161" spans="14:14" x14ac:dyDescent="0.25">
      <c r="N161" s="74"/>
    </row>
    <row r="162" spans="14:14" x14ac:dyDescent="0.25">
      <c r="N162" s="74"/>
    </row>
    <row r="163" spans="14:14" x14ac:dyDescent="0.25">
      <c r="N163" s="74"/>
    </row>
    <row r="164" spans="14:14" x14ac:dyDescent="0.25">
      <c r="N164" s="74"/>
    </row>
    <row r="165" spans="14:14" x14ac:dyDescent="0.25">
      <c r="N165" s="74"/>
    </row>
    <row r="166" spans="14:14" x14ac:dyDescent="0.25">
      <c r="N166" s="74"/>
    </row>
    <row r="167" spans="14:14" x14ac:dyDescent="0.25">
      <c r="N167" s="74"/>
    </row>
    <row r="168" spans="14:14" x14ac:dyDescent="0.25">
      <c r="N168" s="74"/>
    </row>
    <row r="169" spans="14:14" x14ac:dyDescent="0.25">
      <c r="N169" s="74"/>
    </row>
    <row r="170" spans="14:14" x14ac:dyDescent="0.25">
      <c r="N170" s="74"/>
    </row>
    <row r="171" spans="14:14" x14ac:dyDescent="0.25">
      <c r="N171" s="74"/>
    </row>
    <row r="172" spans="14:14" x14ac:dyDescent="0.25">
      <c r="N172" s="74"/>
    </row>
    <row r="173" spans="14:14" x14ac:dyDescent="0.25">
      <c r="N173" s="74"/>
    </row>
    <row r="174" spans="14:14" x14ac:dyDescent="0.25">
      <c r="N174" s="74"/>
    </row>
    <row r="175" spans="14:14" x14ac:dyDescent="0.25">
      <c r="N175" s="74"/>
    </row>
    <row r="176" spans="14:14" x14ac:dyDescent="0.25">
      <c r="N176" s="74"/>
    </row>
    <row r="177" spans="14:14" x14ac:dyDescent="0.25">
      <c r="N177" s="74"/>
    </row>
    <row r="178" spans="14:14" x14ac:dyDescent="0.25">
      <c r="N178" s="74"/>
    </row>
    <row r="179" spans="14:14" x14ac:dyDescent="0.25">
      <c r="N179" s="74"/>
    </row>
    <row r="180" spans="14:14" x14ac:dyDescent="0.25">
      <c r="N180" s="74"/>
    </row>
    <row r="181" spans="14:14" x14ac:dyDescent="0.25">
      <c r="N181" s="74"/>
    </row>
    <row r="182" spans="14:14" x14ac:dyDescent="0.25">
      <c r="N182" s="74"/>
    </row>
    <row r="183" spans="14:14" x14ac:dyDescent="0.25">
      <c r="N183" s="74"/>
    </row>
    <row r="184" spans="14:14" x14ac:dyDescent="0.25">
      <c r="N184" s="74"/>
    </row>
    <row r="185" spans="14:14" x14ac:dyDescent="0.25">
      <c r="N185" s="74"/>
    </row>
    <row r="186" spans="14:14" x14ac:dyDescent="0.25">
      <c r="N186" s="74"/>
    </row>
    <row r="187" spans="14:14" x14ac:dyDescent="0.25">
      <c r="N187" s="74"/>
    </row>
    <row r="188" spans="14:14" x14ac:dyDescent="0.25">
      <c r="N188" s="74"/>
    </row>
    <row r="189" spans="14:14" x14ac:dyDescent="0.25">
      <c r="N189" s="74"/>
    </row>
    <row r="190" spans="14:14" x14ac:dyDescent="0.25">
      <c r="N190" s="74"/>
    </row>
    <row r="191" spans="14:14" x14ac:dyDescent="0.25">
      <c r="N191" s="74"/>
    </row>
    <row r="192" spans="14:14" x14ac:dyDescent="0.25">
      <c r="N192" s="74"/>
    </row>
    <row r="193" spans="14:14" x14ac:dyDescent="0.25">
      <c r="N193" s="74"/>
    </row>
    <row r="194" spans="14:14" x14ac:dyDescent="0.25">
      <c r="N194" s="74"/>
    </row>
    <row r="195" spans="14:14" x14ac:dyDescent="0.25">
      <c r="N195" s="74"/>
    </row>
    <row r="196" spans="14:14" x14ac:dyDescent="0.25">
      <c r="N196" s="74"/>
    </row>
    <row r="197" spans="14:14" x14ac:dyDescent="0.25">
      <c r="N197" s="74"/>
    </row>
    <row r="198" spans="14:14" x14ac:dyDescent="0.25">
      <c r="N198" s="74"/>
    </row>
    <row r="199" spans="14:14" x14ac:dyDescent="0.25">
      <c r="N199" s="74"/>
    </row>
    <row r="200" spans="14:14" x14ac:dyDescent="0.25">
      <c r="N200" s="74"/>
    </row>
    <row r="201" spans="14:14" x14ac:dyDescent="0.25">
      <c r="N201" s="74"/>
    </row>
    <row r="202" spans="14:14" x14ac:dyDescent="0.25">
      <c r="N202" s="74"/>
    </row>
    <row r="203" spans="14:14" x14ac:dyDescent="0.25">
      <c r="N203" s="74"/>
    </row>
    <row r="204" spans="14:14" x14ac:dyDescent="0.25">
      <c r="N204" s="74"/>
    </row>
    <row r="205" spans="14:14" x14ac:dyDescent="0.25">
      <c r="N205" s="74"/>
    </row>
    <row r="206" spans="14:14" x14ac:dyDescent="0.25">
      <c r="N206" s="74"/>
    </row>
    <row r="207" spans="14:14" x14ac:dyDescent="0.25">
      <c r="N207" s="74"/>
    </row>
    <row r="208" spans="14:14" x14ac:dyDescent="0.25">
      <c r="N208" s="74"/>
    </row>
    <row r="209" spans="14:14" x14ac:dyDescent="0.25">
      <c r="N209" s="74"/>
    </row>
    <row r="210" spans="14:14" x14ac:dyDescent="0.25">
      <c r="N210" s="74"/>
    </row>
    <row r="211" spans="14:14" x14ac:dyDescent="0.25">
      <c r="N211" s="74"/>
    </row>
    <row r="212" spans="14:14" x14ac:dyDescent="0.25">
      <c r="N212" s="74"/>
    </row>
    <row r="213" spans="14:14" x14ac:dyDescent="0.25">
      <c r="N213" s="74"/>
    </row>
    <row r="214" spans="14:14" x14ac:dyDescent="0.25">
      <c r="N214" s="74"/>
    </row>
    <row r="215" spans="14:14" x14ac:dyDescent="0.25">
      <c r="N215" s="74"/>
    </row>
    <row r="216" spans="14:14" x14ac:dyDescent="0.25">
      <c r="N216" s="74"/>
    </row>
    <row r="217" spans="14:14" x14ac:dyDescent="0.25">
      <c r="N217" s="74"/>
    </row>
    <row r="218" spans="14:14" x14ac:dyDescent="0.25">
      <c r="N218" s="74"/>
    </row>
    <row r="219" spans="14:14" x14ac:dyDescent="0.25">
      <c r="N219" s="74"/>
    </row>
    <row r="220" spans="14:14" x14ac:dyDescent="0.25">
      <c r="N220" s="74"/>
    </row>
    <row r="221" spans="14:14" x14ac:dyDescent="0.25">
      <c r="N221" s="74"/>
    </row>
    <row r="222" spans="14:14" x14ac:dyDescent="0.25">
      <c r="N222" s="74"/>
    </row>
    <row r="223" spans="14:14" x14ac:dyDescent="0.25">
      <c r="N223" s="74"/>
    </row>
    <row r="224" spans="14:14" x14ac:dyDescent="0.25">
      <c r="N224" s="74"/>
    </row>
    <row r="225" spans="14:14" x14ac:dyDescent="0.25">
      <c r="N225" s="74"/>
    </row>
    <row r="226" spans="14:14" x14ac:dyDescent="0.25">
      <c r="N226" s="74"/>
    </row>
    <row r="227" spans="14:14" x14ac:dyDescent="0.25">
      <c r="N227" s="74"/>
    </row>
    <row r="228" spans="14:14" x14ac:dyDescent="0.25">
      <c r="N228" s="74"/>
    </row>
    <row r="229" spans="14:14" x14ac:dyDescent="0.25">
      <c r="N229" s="74"/>
    </row>
    <row r="230" spans="14:14" x14ac:dyDescent="0.25">
      <c r="N230" s="74"/>
    </row>
    <row r="231" spans="14:14" x14ac:dyDescent="0.25">
      <c r="N231" s="74"/>
    </row>
    <row r="232" spans="14:14" x14ac:dyDescent="0.25">
      <c r="N232" s="74"/>
    </row>
    <row r="233" spans="14:14" x14ac:dyDescent="0.25">
      <c r="N233" s="74"/>
    </row>
    <row r="234" spans="14:14" x14ac:dyDescent="0.25">
      <c r="N234" s="74"/>
    </row>
    <row r="235" spans="14:14" x14ac:dyDescent="0.25">
      <c r="N235" s="74"/>
    </row>
    <row r="236" spans="14:14" x14ac:dyDescent="0.25">
      <c r="N236" s="74"/>
    </row>
    <row r="237" spans="14:14" x14ac:dyDescent="0.25">
      <c r="N237" s="74"/>
    </row>
    <row r="238" spans="14:14" x14ac:dyDescent="0.25">
      <c r="N238" s="74"/>
    </row>
    <row r="239" spans="14:14" x14ac:dyDescent="0.25">
      <c r="N239" s="74"/>
    </row>
    <row r="240" spans="14:14" x14ac:dyDescent="0.25">
      <c r="N240" s="74"/>
    </row>
    <row r="241" spans="14:14" x14ac:dyDescent="0.25">
      <c r="N241" s="74"/>
    </row>
    <row r="242" spans="14:14" x14ac:dyDescent="0.25">
      <c r="N242" s="74"/>
    </row>
    <row r="243" spans="14:14" x14ac:dyDescent="0.25">
      <c r="N243" s="74"/>
    </row>
    <row r="244" spans="14:14" x14ac:dyDescent="0.25">
      <c r="N244" s="74"/>
    </row>
    <row r="245" spans="14:14" x14ac:dyDescent="0.25">
      <c r="N245" s="74"/>
    </row>
    <row r="246" spans="14:14" x14ac:dyDescent="0.25">
      <c r="N246" s="74"/>
    </row>
    <row r="247" spans="14:14" x14ac:dyDescent="0.25">
      <c r="N247" s="74"/>
    </row>
    <row r="248" spans="14:14" x14ac:dyDescent="0.25">
      <c r="N248" s="74"/>
    </row>
    <row r="249" spans="14:14" x14ac:dyDescent="0.25">
      <c r="N249" s="74"/>
    </row>
    <row r="250" spans="14:14" x14ac:dyDescent="0.25">
      <c r="N250" s="74"/>
    </row>
    <row r="251" spans="14:14" x14ac:dyDescent="0.25">
      <c r="N251" s="74"/>
    </row>
    <row r="252" spans="14:14" x14ac:dyDescent="0.25">
      <c r="N252" s="74"/>
    </row>
    <row r="253" spans="14:14" x14ac:dyDescent="0.25">
      <c r="N253" s="74"/>
    </row>
    <row r="254" spans="14:14" x14ac:dyDescent="0.25">
      <c r="N254" s="74"/>
    </row>
    <row r="255" spans="14:14" x14ac:dyDescent="0.25">
      <c r="N255" s="74"/>
    </row>
    <row r="256" spans="14:14" x14ac:dyDescent="0.25">
      <c r="N256" s="74"/>
    </row>
    <row r="257" spans="14:14" x14ac:dyDescent="0.25">
      <c r="N257" s="74"/>
    </row>
    <row r="258" spans="14:14" x14ac:dyDescent="0.25">
      <c r="N258" s="74"/>
    </row>
    <row r="259" spans="14:14" x14ac:dyDescent="0.25">
      <c r="N259" s="74"/>
    </row>
    <row r="260" spans="14:14" x14ac:dyDescent="0.25">
      <c r="N260" s="74"/>
    </row>
    <row r="261" spans="14:14" x14ac:dyDescent="0.25">
      <c r="N261" s="74"/>
    </row>
    <row r="262" spans="14:14" x14ac:dyDescent="0.25">
      <c r="N262" s="74"/>
    </row>
    <row r="263" spans="14:14" x14ac:dyDescent="0.25">
      <c r="N263" s="74"/>
    </row>
    <row r="264" spans="14:14" x14ac:dyDescent="0.25">
      <c r="N264" s="74"/>
    </row>
    <row r="265" spans="14:14" x14ac:dyDescent="0.25">
      <c r="N265" s="74"/>
    </row>
    <row r="266" spans="14:14" x14ac:dyDescent="0.25">
      <c r="N266" s="74"/>
    </row>
    <row r="267" spans="14:14" x14ac:dyDescent="0.25">
      <c r="N267" s="74"/>
    </row>
    <row r="268" spans="14:14" x14ac:dyDescent="0.25">
      <c r="N268" s="74"/>
    </row>
    <row r="269" spans="14:14" x14ac:dyDescent="0.25">
      <c r="N269" s="74"/>
    </row>
    <row r="270" spans="14:14" x14ac:dyDescent="0.25">
      <c r="N270" s="74"/>
    </row>
    <row r="271" spans="14:14" x14ac:dyDescent="0.25">
      <c r="N271" s="74"/>
    </row>
    <row r="272" spans="14:14" x14ac:dyDescent="0.25">
      <c r="N272" s="74"/>
    </row>
    <row r="273" spans="14:14" x14ac:dyDescent="0.25">
      <c r="N273" s="74"/>
    </row>
    <row r="274" spans="14:14" x14ac:dyDescent="0.25">
      <c r="N274" s="74"/>
    </row>
    <row r="275" spans="14:14" x14ac:dyDescent="0.25">
      <c r="N275" s="74"/>
    </row>
    <row r="276" spans="14:14" x14ac:dyDescent="0.25">
      <c r="N276" s="74"/>
    </row>
    <row r="277" spans="14:14" x14ac:dyDescent="0.25">
      <c r="N277" s="74"/>
    </row>
    <row r="278" spans="14:14" x14ac:dyDescent="0.25">
      <c r="N278" s="74"/>
    </row>
    <row r="279" spans="14:14" x14ac:dyDescent="0.25">
      <c r="N279" s="74"/>
    </row>
    <row r="280" spans="14:14" x14ac:dyDescent="0.25">
      <c r="N280" s="74"/>
    </row>
    <row r="281" spans="14:14" x14ac:dyDescent="0.25">
      <c r="N281" s="74"/>
    </row>
    <row r="282" spans="14:14" x14ac:dyDescent="0.25">
      <c r="N282" s="74"/>
    </row>
    <row r="283" spans="14:14" x14ac:dyDescent="0.25">
      <c r="N283" s="74"/>
    </row>
    <row r="284" spans="14:14" x14ac:dyDescent="0.25">
      <c r="N284" s="74"/>
    </row>
    <row r="285" spans="14:14" x14ac:dyDescent="0.25">
      <c r="N285" s="74"/>
    </row>
    <row r="286" spans="14:14" x14ac:dyDescent="0.25">
      <c r="N286" s="74"/>
    </row>
    <row r="287" spans="14:14" x14ac:dyDescent="0.25">
      <c r="N287" s="74"/>
    </row>
    <row r="288" spans="14:14" x14ac:dyDescent="0.25">
      <c r="N288" s="74"/>
    </row>
    <row r="289" spans="14:14" x14ac:dyDescent="0.25">
      <c r="N289" s="74"/>
    </row>
    <row r="290" spans="14:14" x14ac:dyDescent="0.25">
      <c r="N290" s="74"/>
    </row>
    <row r="291" spans="14:14" x14ac:dyDescent="0.25">
      <c r="N291" s="74"/>
    </row>
    <row r="292" spans="14:14" x14ac:dyDescent="0.25">
      <c r="N292" s="74"/>
    </row>
    <row r="293" spans="14:14" x14ac:dyDescent="0.25">
      <c r="N293" s="74"/>
    </row>
    <row r="294" spans="14:14" x14ac:dyDescent="0.25">
      <c r="N294" s="74"/>
    </row>
    <row r="295" spans="14:14" x14ac:dyDescent="0.25">
      <c r="N295" s="74"/>
    </row>
    <row r="296" spans="14:14" x14ac:dyDescent="0.25">
      <c r="N296" s="74"/>
    </row>
    <row r="297" spans="14:14" x14ac:dyDescent="0.25">
      <c r="N297" s="74"/>
    </row>
    <row r="298" spans="14:14" x14ac:dyDescent="0.25">
      <c r="N298" s="74"/>
    </row>
    <row r="299" spans="14:14" x14ac:dyDescent="0.25">
      <c r="N299" s="74"/>
    </row>
    <row r="300" spans="14:14" x14ac:dyDescent="0.25">
      <c r="N300" s="74"/>
    </row>
    <row r="301" spans="14:14" x14ac:dyDescent="0.25">
      <c r="N301" s="74"/>
    </row>
    <row r="302" spans="14:14" x14ac:dyDescent="0.25">
      <c r="N302" s="74"/>
    </row>
    <row r="303" spans="14:14" x14ac:dyDescent="0.25">
      <c r="N303" s="74"/>
    </row>
    <row r="304" spans="14:14" x14ac:dyDescent="0.25">
      <c r="N304" s="74"/>
    </row>
    <row r="305" spans="14:14" x14ac:dyDescent="0.25">
      <c r="N305" s="74"/>
    </row>
    <row r="306" spans="14:14" x14ac:dyDescent="0.25">
      <c r="N306" s="74"/>
    </row>
    <row r="307" spans="14:14" x14ac:dyDescent="0.25">
      <c r="N307" s="74"/>
    </row>
    <row r="308" spans="14:14" x14ac:dyDescent="0.25">
      <c r="N308" s="74"/>
    </row>
    <row r="309" spans="14:14" x14ac:dyDescent="0.25">
      <c r="N309" s="74"/>
    </row>
    <row r="310" spans="14:14" x14ac:dyDescent="0.25">
      <c r="N310" s="74"/>
    </row>
    <row r="311" spans="14:14" x14ac:dyDescent="0.25">
      <c r="N311" s="74"/>
    </row>
    <row r="312" spans="14:14" x14ac:dyDescent="0.25">
      <c r="N312" s="74"/>
    </row>
    <row r="313" spans="14:14" x14ac:dyDescent="0.25">
      <c r="N313" s="74"/>
    </row>
    <row r="314" spans="14:14" x14ac:dyDescent="0.25">
      <c r="N314" s="74"/>
    </row>
    <row r="315" spans="14:14" x14ac:dyDescent="0.25">
      <c r="N315" s="74"/>
    </row>
    <row r="316" spans="14:14" x14ac:dyDescent="0.25">
      <c r="N316" s="74"/>
    </row>
    <row r="317" spans="14:14" x14ac:dyDescent="0.25">
      <c r="N317" s="74"/>
    </row>
    <row r="318" spans="14:14" x14ac:dyDescent="0.25">
      <c r="N318" s="74"/>
    </row>
    <row r="319" spans="14:14" x14ac:dyDescent="0.25">
      <c r="N319" s="74"/>
    </row>
    <row r="320" spans="14:14" x14ac:dyDescent="0.25">
      <c r="N320" s="74"/>
    </row>
    <row r="321" spans="14:14" x14ac:dyDescent="0.25">
      <c r="N321" s="74"/>
    </row>
    <row r="322" spans="14:14" x14ac:dyDescent="0.25">
      <c r="N322" s="74"/>
    </row>
    <row r="323" spans="14:14" x14ac:dyDescent="0.25">
      <c r="N323" s="74"/>
    </row>
    <row r="324" spans="14:14" x14ac:dyDescent="0.25">
      <c r="N324" s="74"/>
    </row>
    <row r="325" spans="14:14" x14ac:dyDescent="0.25">
      <c r="N325" s="74"/>
    </row>
    <row r="326" spans="14:14" x14ac:dyDescent="0.25">
      <c r="N326" s="74"/>
    </row>
    <row r="327" spans="14:14" x14ac:dyDescent="0.25">
      <c r="N327" s="74"/>
    </row>
    <row r="328" spans="14:14" x14ac:dyDescent="0.25">
      <c r="N328" s="74"/>
    </row>
    <row r="329" spans="14:14" x14ac:dyDescent="0.25">
      <c r="N329" s="74"/>
    </row>
    <row r="330" spans="14:14" x14ac:dyDescent="0.25">
      <c r="N330" s="74"/>
    </row>
    <row r="331" spans="14:14" x14ac:dyDescent="0.25">
      <c r="N331" s="74"/>
    </row>
    <row r="332" spans="14:14" x14ac:dyDescent="0.25">
      <c r="N332" s="74"/>
    </row>
    <row r="333" spans="14:14" x14ac:dyDescent="0.25">
      <c r="N333" s="74"/>
    </row>
    <row r="334" spans="14:14" x14ac:dyDescent="0.25">
      <c r="N334" s="74"/>
    </row>
    <row r="335" spans="14:14" x14ac:dyDescent="0.25">
      <c r="N335" s="74"/>
    </row>
    <row r="336" spans="14:14" x14ac:dyDescent="0.25">
      <c r="N336" s="74"/>
    </row>
    <row r="337" spans="14:14" x14ac:dyDescent="0.25">
      <c r="N337" s="74"/>
    </row>
    <row r="338" spans="14:14" x14ac:dyDescent="0.25">
      <c r="N338" s="74"/>
    </row>
    <row r="339" spans="14:14" x14ac:dyDescent="0.25">
      <c r="N339" s="74"/>
    </row>
    <row r="340" spans="14:14" x14ac:dyDescent="0.25">
      <c r="N340" s="74"/>
    </row>
    <row r="341" spans="14:14" x14ac:dyDescent="0.25">
      <c r="N341" s="74"/>
    </row>
    <row r="342" spans="14:14" x14ac:dyDescent="0.25">
      <c r="N342" s="74"/>
    </row>
    <row r="343" spans="14:14" x14ac:dyDescent="0.25">
      <c r="N343" s="74"/>
    </row>
    <row r="344" spans="14:14" x14ac:dyDescent="0.25">
      <c r="N344" s="74"/>
    </row>
    <row r="345" spans="14:14" x14ac:dyDescent="0.25">
      <c r="N345" s="74"/>
    </row>
    <row r="346" spans="14:14" x14ac:dyDescent="0.25">
      <c r="N346" s="74"/>
    </row>
    <row r="347" spans="14:14" x14ac:dyDescent="0.25">
      <c r="N347" s="74"/>
    </row>
    <row r="348" spans="14:14" x14ac:dyDescent="0.25">
      <c r="N348" s="74"/>
    </row>
    <row r="349" spans="14:14" x14ac:dyDescent="0.25">
      <c r="N349" s="74"/>
    </row>
    <row r="350" spans="14:14" x14ac:dyDescent="0.25">
      <c r="N350" s="74"/>
    </row>
    <row r="351" spans="14:14" x14ac:dyDescent="0.25">
      <c r="N351" s="74"/>
    </row>
    <row r="352" spans="14:14" x14ac:dyDescent="0.25">
      <c r="N352" s="74"/>
    </row>
    <row r="353" spans="14:14" x14ac:dyDescent="0.25">
      <c r="N353" s="74"/>
    </row>
    <row r="354" spans="14:14" x14ac:dyDescent="0.25">
      <c r="N354" s="74"/>
    </row>
    <row r="355" spans="14:14" x14ac:dyDescent="0.25">
      <c r="N355" s="74"/>
    </row>
    <row r="356" spans="14:14" x14ac:dyDescent="0.25">
      <c r="N356" s="74"/>
    </row>
    <row r="357" spans="14:14" x14ac:dyDescent="0.25">
      <c r="N357" s="74"/>
    </row>
    <row r="358" spans="14:14" x14ac:dyDescent="0.25">
      <c r="N358" s="74"/>
    </row>
    <row r="359" spans="14:14" x14ac:dyDescent="0.25">
      <c r="N359" s="74"/>
    </row>
    <row r="360" spans="14:14" x14ac:dyDescent="0.25">
      <c r="N360" s="74"/>
    </row>
    <row r="361" spans="14:14" x14ac:dyDescent="0.25">
      <c r="N361" s="74"/>
    </row>
    <row r="362" spans="14:14" x14ac:dyDescent="0.25">
      <c r="N362" s="74"/>
    </row>
    <row r="363" spans="14:14" x14ac:dyDescent="0.25">
      <c r="N363" s="74"/>
    </row>
    <row r="364" spans="14:14" x14ac:dyDescent="0.25">
      <c r="N364" s="74"/>
    </row>
    <row r="365" spans="14:14" x14ac:dyDescent="0.25">
      <c r="N365" s="74"/>
    </row>
    <row r="366" spans="14:14" x14ac:dyDescent="0.25">
      <c r="N366" s="74"/>
    </row>
    <row r="367" spans="14:14" x14ac:dyDescent="0.25">
      <c r="N367" s="74"/>
    </row>
    <row r="368" spans="14:14" x14ac:dyDescent="0.25">
      <c r="N368" s="74"/>
    </row>
    <row r="369" spans="14:14" x14ac:dyDescent="0.25">
      <c r="N369" s="74"/>
    </row>
    <row r="370" spans="14:14" x14ac:dyDescent="0.25">
      <c r="N370" s="74"/>
    </row>
    <row r="371" spans="14:14" x14ac:dyDescent="0.25">
      <c r="N371" s="74"/>
    </row>
    <row r="372" spans="14:14" x14ac:dyDescent="0.25">
      <c r="N372" s="74"/>
    </row>
    <row r="373" spans="14:14" x14ac:dyDescent="0.25">
      <c r="N373" s="74"/>
    </row>
    <row r="374" spans="14:14" x14ac:dyDescent="0.25">
      <c r="N374" s="74"/>
    </row>
    <row r="375" spans="14:14" x14ac:dyDescent="0.25">
      <c r="N375" s="74"/>
    </row>
    <row r="376" spans="14:14" x14ac:dyDescent="0.25">
      <c r="N376" s="74"/>
    </row>
    <row r="377" spans="14:14" x14ac:dyDescent="0.25">
      <c r="N377" s="74"/>
    </row>
    <row r="378" spans="14:14" x14ac:dyDescent="0.25">
      <c r="N378" s="74"/>
    </row>
    <row r="379" spans="14:14" x14ac:dyDescent="0.25">
      <c r="N379" s="74"/>
    </row>
    <row r="380" spans="14:14" x14ac:dyDescent="0.25">
      <c r="N380" s="74"/>
    </row>
    <row r="381" spans="14:14" x14ac:dyDescent="0.25">
      <c r="N381" s="74"/>
    </row>
    <row r="382" spans="14:14" x14ac:dyDescent="0.25">
      <c r="N382" s="74"/>
    </row>
    <row r="383" spans="14:14" x14ac:dyDescent="0.25">
      <c r="N383" s="74"/>
    </row>
    <row r="384" spans="14:14" x14ac:dyDescent="0.25">
      <c r="N384" s="74"/>
    </row>
    <row r="385" spans="14:14" x14ac:dyDescent="0.25">
      <c r="N385" s="74"/>
    </row>
    <row r="386" spans="14:14" x14ac:dyDescent="0.25">
      <c r="N386" s="74"/>
    </row>
    <row r="387" spans="14:14" x14ac:dyDescent="0.25">
      <c r="N387" s="74"/>
    </row>
    <row r="388" spans="14:14" x14ac:dyDescent="0.25">
      <c r="N388" s="74"/>
    </row>
    <row r="389" spans="14:14" x14ac:dyDescent="0.25">
      <c r="N389" s="74"/>
    </row>
    <row r="390" spans="14:14" x14ac:dyDescent="0.25">
      <c r="N390" s="74"/>
    </row>
    <row r="391" spans="14:14" x14ac:dyDescent="0.25">
      <c r="N391" s="74"/>
    </row>
    <row r="392" spans="14:14" x14ac:dyDescent="0.25">
      <c r="N392" s="74"/>
    </row>
    <row r="393" spans="14:14" x14ac:dyDescent="0.25">
      <c r="N393" s="74"/>
    </row>
    <row r="394" spans="14:14" x14ac:dyDescent="0.25">
      <c r="N394" s="74"/>
    </row>
    <row r="395" spans="14:14" x14ac:dyDescent="0.25">
      <c r="N395" s="74"/>
    </row>
    <row r="396" spans="14:14" x14ac:dyDescent="0.25">
      <c r="N396" s="74"/>
    </row>
    <row r="397" spans="14:14" x14ac:dyDescent="0.25">
      <c r="N397" s="74"/>
    </row>
    <row r="398" spans="14:14" x14ac:dyDescent="0.25">
      <c r="N398" s="74"/>
    </row>
    <row r="399" spans="14:14" x14ac:dyDescent="0.25">
      <c r="N399" s="74"/>
    </row>
    <row r="400" spans="14:14" x14ac:dyDescent="0.25">
      <c r="N400" s="74"/>
    </row>
    <row r="401" spans="14:14" x14ac:dyDescent="0.25">
      <c r="N401" s="74"/>
    </row>
    <row r="402" spans="14:14" x14ac:dyDescent="0.25">
      <c r="N402" s="74"/>
    </row>
    <row r="403" spans="14:14" x14ac:dyDescent="0.25">
      <c r="N403" s="74"/>
    </row>
    <row r="404" spans="14:14" x14ac:dyDescent="0.25">
      <c r="N404" s="74"/>
    </row>
    <row r="405" spans="14:14" x14ac:dyDescent="0.25">
      <c r="N405" s="74"/>
    </row>
    <row r="406" spans="14:14" x14ac:dyDescent="0.25">
      <c r="N406" s="74"/>
    </row>
    <row r="407" spans="14:14" x14ac:dyDescent="0.25">
      <c r="N407" s="74"/>
    </row>
    <row r="408" spans="14:14" x14ac:dyDescent="0.25">
      <c r="N408" s="74"/>
    </row>
    <row r="409" spans="14:14" x14ac:dyDescent="0.25">
      <c r="N409" s="74"/>
    </row>
    <row r="410" spans="14:14" x14ac:dyDescent="0.25">
      <c r="N410" s="74"/>
    </row>
    <row r="411" spans="14:14" x14ac:dyDescent="0.25">
      <c r="N411" s="74"/>
    </row>
    <row r="412" spans="14:14" x14ac:dyDescent="0.25">
      <c r="N412" s="74"/>
    </row>
    <row r="413" spans="14:14" x14ac:dyDescent="0.25">
      <c r="N413" s="74"/>
    </row>
    <row r="414" spans="14:14" x14ac:dyDescent="0.25">
      <c r="N414" s="74"/>
    </row>
    <row r="415" spans="14:14" x14ac:dyDescent="0.25">
      <c r="N415" s="74"/>
    </row>
    <row r="416" spans="14:14" x14ac:dyDescent="0.25">
      <c r="N416" s="74"/>
    </row>
    <row r="417" spans="14:14" x14ac:dyDescent="0.25">
      <c r="N417" s="74"/>
    </row>
    <row r="418" spans="14:14" x14ac:dyDescent="0.25">
      <c r="N418" s="74"/>
    </row>
    <row r="419" spans="14:14" x14ac:dyDescent="0.25">
      <c r="N419" s="74"/>
    </row>
    <row r="420" spans="14:14" x14ac:dyDescent="0.25">
      <c r="N420" s="74"/>
    </row>
    <row r="421" spans="14:14" x14ac:dyDescent="0.25">
      <c r="N421" s="74"/>
    </row>
    <row r="422" spans="14:14" x14ac:dyDescent="0.25">
      <c r="N422" s="74"/>
    </row>
    <row r="423" spans="14:14" x14ac:dyDescent="0.25">
      <c r="N423" s="74"/>
    </row>
    <row r="424" spans="14:14" x14ac:dyDescent="0.25">
      <c r="N424" s="74"/>
    </row>
    <row r="425" spans="14:14" x14ac:dyDescent="0.25">
      <c r="N425" s="74"/>
    </row>
    <row r="426" spans="14:14" x14ac:dyDescent="0.25">
      <c r="N426" s="74"/>
    </row>
    <row r="427" spans="14:14" x14ac:dyDescent="0.25">
      <c r="N427" s="74"/>
    </row>
    <row r="428" spans="14:14" x14ac:dyDescent="0.25">
      <c r="N428" s="74"/>
    </row>
    <row r="429" spans="14:14" x14ac:dyDescent="0.25">
      <c r="N429" s="74"/>
    </row>
    <row r="430" spans="14:14" x14ac:dyDescent="0.25">
      <c r="N430" s="74"/>
    </row>
    <row r="431" spans="14:14" x14ac:dyDescent="0.25">
      <c r="N431" s="74"/>
    </row>
    <row r="432" spans="14:14" x14ac:dyDescent="0.25">
      <c r="N432" s="74"/>
    </row>
    <row r="433" spans="14:14" x14ac:dyDescent="0.25">
      <c r="N433" s="74"/>
    </row>
    <row r="434" spans="14:14" x14ac:dyDescent="0.25">
      <c r="N434" s="74"/>
    </row>
    <row r="435" spans="14:14" x14ac:dyDescent="0.25">
      <c r="N435" s="74"/>
    </row>
    <row r="436" spans="14:14" x14ac:dyDescent="0.25">
      <c r="N436" s="74"/>
    </row>
    <row r="437" spans="14:14" x14ac:dyDescent="0.25">
      <c r="N437" s="74"/>
    </row>
    <row r="438" spans="14:14" x14ac:dyDescent="0.25">
      <c r="N438" s="74"/>
    </row>
    <row r="439" spans="14:14" x14ac:dyDescent="0.25">
      <c r="N439" s="74"/>
    </row>
    <row r="440" spans="14:14" x14ac:dyDescent="0.25">
      <c r="N440" s="74"/>
    </row>
    <row r="441" spans="14:14" x14ac:dyDescent="0.25">
      <c r="N441" s="74"/>
    </row>
    <row r="442" spans="14:14" x14ac:dyDescent="0.25">
      <c r="N442" s="74"/>
    </row>
    <row r="443" spans="14:14" x14ac:dyDescent="0.25">
      <c r="N443" s="74"/>
    </row>
    <row r="444" spans="14:14" x14ac:dyDescent="0.25">
      <c r="N444" s="74"/>
    </row>
    <row r="445" spans="14:14" x14ac:dyDescent="0.25">
      <c r="N445" s="74"/>
    </row>
    <row r="446" spans="14:14" x14ac:dyDescent="0.25">
      <c r="N446" s="74"/>
    </row>
    <row r="447" spans="14:14" x14ac:dyDescent="0.25">
      <c r="N447" s="74"/>
    </row>
    <row r="448" spans="14:14" x14ac:dyDescent="0.25">
      <c r="N448" s="74"/>
    </row>
    <row r="449" spans="14:14" x14ac:dyDescent="0.25">
      <c r="N449" s="74"/>
    </row>
    <row r="450" spans="14:14" x14ac:dyDescent="0.25">
      <c r="N450" s="74"/>
    </row>
    <row r="451" spans="14:14" x14ac:dyDescent="0.25">
      <c r="N451" s="74"/>
    </row>
    <row r="452" spans="14:14" x14ac:dyDescent="0.25">
      <c r="N452" s="74"/>
    </row>
    <row r="453" spans="14:14" x14ac:dyDescent="0.25">
      <c r="N453" s="74"/>
    </row>
    <row r="454" spans="14:14" x14ac:dyDescent="0.25">
      <c r="N454" s="74"/>
    </row>
    <row r="455" spans="14:14" x14ac:dyDescent="0.25">
      <c r="N455" s="74"/>
    </row>
    <row r="456" spans="14:14" x14ac:dyDescent="0.25">
      <c r="N456" s="74"/>
    </row>
    <row r="457" spans="14:14" x14ac:dyDescent="0.25">
      <c r="N457" s="74"/>
    </row>
    <row r="458" spans="14:14" x14ac:dyDescent="0.25">
      <c r="N458" s="74"/>
    </row>
    <row r="459" spans="14:14" x14ac:dyDescent="0.25">
      <c r="N459" s="74"/>
    </row>
    <row r="460" spans="14:14" x14ac:dyDescent="0.25">
      <c r="N460" s="74"/>
    </row>
    <row r="461" spans="14:14" x14ac:dyDescent="0.25">
      <c r="N461" s="74"/>
    </row>
    <row r="462" spans="14:14" x14ac:dyDescent="0.25">
      <c r="N462" s="74"/>
    </row>
    <row r="463" spans="14:14" x14ac:dyDescent="0.25">
      <c r="N463" s="74"/>
    </row>
    <row r="464" spans="14:14" x14ac:dyDescent="0.25">
      <c r="N464" s="74"/>
    </row>
    <row r="465" spans="14:14" x14ac:dyDescent="0.25">
      <c r="N465" s="74"/>
    </row>
    <row r="466" spans="14:14" x14ac:dyDescent="0.25">
      <c r="N466" s="74"/>
    </row>
    <row r="467" spans="14:14" x14ac:dyDescent="0.25">
      <c r="N467" s="74"/>
    </row>
    <row r="468" spans="14:14" x14ac:dyDescent="0.25">
      <c r="N468" s="74"/>
    </row>
    <row r="469" spans="14:14" x14ac:dyDescent="0.25">
      <c r="N469" s="74"/>
    </row>
    <row r="470" spans="14:14" x14ac:dyDescent="0.25">
      <c r="N470" s="74"/>
    </row>
    <row r="471" spans="14:14" x14ac:dyDescent="0.25">
      <c r="N471" s="74"/>
    </row>
    <row r="472" spans="14:14" x14ac:dyDescent="0.25">
      <c r="N472" s="74"/>
    </row>
    <row r="473" spans="14:14" x14ac:dyDescent="0.25">
      <c r="N473" s="74"/>
    </row>
    <row r="474" spans="14:14" x14ac:dyDescent="0.25">
      <c r="N474" s="74"/>
    </row>
    <row r="475" spans="14:14" x14ac:dyDescent="0.25">
      <c r="N475" s="74"/>
    </row>
    <row r="476" spans="14:14" x14ac:dyDescent="0.25">
      <c r="N476" s="74"/>
    </row>
    <row r="477" spans="14:14" x14ac:dyDescent="0.25">
      <c r="N477" s="74"/>
    </row>
    <row r="478" spans="14:14" x14ac:dyDescent="0.25">
      <c r="N478" s="74"/>
    </row>
    <row r="479" spans="14:14" x14ac:dyDescent="0.25">
      <c r="N479" s="74"/>
    </row>
    <row r="480" spans="14:14" x14ac:dyDescent="0.25">
      <c r="N480" s="74"/>
    </row>
    <row r="481" spans="14:14" x14ac:dyDescent="0.25">
      <c r="N481" s="74"/>
    </row>
    <row r="482" spans="14:14" x14ac:dyDescent="0.25">
      <c r="N482" s="74"/>
    </row>
    <row r="483" spans="14:14" x14ac:dyDescent="0.25">
      <c r="N483" s="74"/>
    </row>
    <row r="484" spans="14:14" x14ac:dyDescent="0.25">
      <c r="N484" s="74"/>
    </row>
    <row r="485" spans="14:14" x14ac:dyDescent="0.25">
      <c r="N485" s="74"/>
    </row>
    <row r="486" spans="14:14" x14ac:dyDescent="0.25">
      <c r="N486" s="74"/>
    </row>
    <row r="487" spans="14:14" x14ac:dyDescent="0.25">
      <c r="N487" s="74"/>
    </row>
    <row r="488" spans="14:14" x14ac:dyDescent="0.25">
      <c r="N488" s="74"/>
    </row>
    <row r="489" spans="14:14" x14ac:dyDescent="0.25">
      <c r="N489" s="74"/>
    </row>
    <row r="490" spans="14:14" x14ac:dyDescent="0.25">
      <c r="N490" s="74"/>
    </row>
    <row r="491" spans="14:14" x14ac:dyDescent="0.25">
      <c r="N491" s="74"/>
    </row>
    <row r="492" spans="14:14" x14ac:dyDescent="0.25">
      <c r="N492" s="74"/>
    </row>
    <row r="493" spans="14:14" x14ac:dyDescent="0.25">
      <c r="N493" s="74"/>
    </row>
    <row r="494" spans="14:14" x14ac:dyDescent="0.25">
      <c r="N494" s="74"/>
    </row>
    <row r="495" spans="14:14" x14ac:dyDescent="0.25">
      <c r="N495" s="74"/>
    </row>
    <row r="496" spans="14:14" x14ac:dyDescent="0.25">
      <c r="N496" s="74"/>
    </row>
    <row r="497" spans="14:14" x14ac:dyDescent="0.25">
      <c r="N497" s="74"/>
    </row>
    <row r="498" spans="14:14" x14ac:dyDescent="0.25">
      <c r="N498" s="74"/>
    </row>
    <row r="499" spans="14:14" x14ac:dyDescent="0.25">
      <c r="N499" s="74"/>
    </row>
    <row r="500" spans="14:14" x14ac:dyDescent="0.25">
      <c r="N500" s="74"/>
    </row>
    <row r="501" spans="14:14" x14ac:dyDescent="0.25">
      <c r="N501" s="74"/>
    </row>
    <row r="502" spans="14:14" x14ac:dyDescent="0.25">
      <c r="N502" s="74"/>
    </row>
    <row r="503" spans="14:14" x14ac:dyDescent="0.25">
      <c r="N503" s="74"/>
    </row>
    <row r="504" spans="14:14" x14ac:dyDescent="0.25">
      <c r="N504" s="74"/>
    </row>
    <row r="505" spans="14:14" x14ac:dyDescent="0.25">
      <c r="N505" s="74"/>
    </row>
    <row r="506" spans="14:14" x14ac:dyDescent="0.25">
      <c r="N506" s="74"/>
    </row>
    <row r="507" spans="14:14" x14ac:dyDescent="0.25">
      <c r="N507" s="74"/>
    </row>
    <row r="508" spans="14:14" x14ac:dyDescent="0.25">
      <c r="N508" s="74"/>
    </row>
    <row r="509" spans="14:14" x14ac:dyDescent="0.25">
      <c r="N509" s="74"/>
    </row>
    <row r="510" spans="14:14" x14ac:dyDescent="0.25">
      <c r="N510" s="74"/>
    </row>
    <row r="511" spans="14:14" x14ac:dyDescent="0.25">
      <c r="N511" s="74"/>
    </row>
    <row r="512" spans="14:14" x14ac:dyDescent="0.25">
      <c r="N512" s="74"/>
    </row>
    <row r="513" spans="14:14" x14ac:dyDescent="0.25">
      <c r="N513" s="74"/>
    </row>
    <row r="514" spans="14:14" x14ac:dyDescent="0.25">
      <c r="N514" s="74"/>
    </row>
    <row r="515" spans="14:14" x14ac:dyDescent="0.25">
      <c r="N515" s="74"/>
    </row>
    <row r="516" spans="14:14" x14ac:dyDescent="0.25">
      <c r="N516" s="74"/>
    </row>
    <row r="517" spans="14:14" x14ac:dyDescent="0.25">
      <c r="N517" s="74"/>
    </row>
    <row r="518" spans="14:14" x14ac:dyDescent="0.25">
      <c r="N518" s="74"/>
    </row>
    <row r="519" spans="14:14" x14ac:dyDescent="0.25">
      <c r="N519" s="74"/>
    </row>
    <row r="520" spans="14:14" x14ac:dyDescent="0.25">
      <c r="N520" s="74"/>
    </row>
    <row r="521" spans="14:14" x14ac:dyDescent="0.25">
      <c r="N521" s="74"/>
    </row>
    <row r="522" spans="14:14" x14ac:dyDescent="0.25">
      <c r="N522" s="74"/>
    </row>
    <row r="523" spans="14:14" x14ac:dyDescent="0.25">
      <c r="N523" s="74"/>
    </row>
    <row r="524" spans="14:14" x14ac:dyDescent="0.25">
      <c r="N524" s="74"/>
    </row>
    <row r="525" spans="14:14" x14ac:dyDescent="0.25">
      <c r="N525" s="74"/>
    </row>
    <row r="526" spans="14:14" x14ac:dyDescent="0.25">
      <c r="N526" s="74"/>
    </row>
    <row r="527" spans="14:14" x14ac:dyDescent="0.25">
      <c r="N527" s="74"/>
    </row>
    <row r="528" spans="14:14" x14ac:dyDescent="0.25">
      <c r="N528" s="74"/>
    </row>
    <row r="529" spans="14:14" x14ac:dyDescent="0.25">
      <c r="N529" s="74"/>
    </row>
    <row r="530" spans="14:14" x14ac:dyDescent="0.25">
      <c r="N530" s="74"/>
    </row>
    <row r="531" spans="14:14" x14ac:dyDescent="0.25">
      <c r="N531" s="74"/>
    </row>
    <row r="532" spans="14:14" x14ac:dyDescent="0.25">
      <c r="N532" s="74"/>
    </row>
    <row r="533" spans="14:14" x14ac:dyDescent="0.25">
      <c r="N533" s="74"/>
    </row>
    <row r="534" spans="14:14" x14ac:dyDescent="0.25">
      <c r="N534" s="74"/>
    </row>
    <row r="535" spans="14:14" x14ac:dyDescent="0.25">
      <c r="N535" s="74"/>
    </row>
    <row r="536" spans="14:14" x14ac:dyDescent="0.25">
      <c r="N536" s="74"/>
    </row>
    <row r="537" spans="14:14" x14ac:dyDescent="0.25">
      <c r="N537" s="74"/>
    </row>
    <row r="538" spans="14:14" x14ac:dyDescent="0.25">
      <c r="N538" s="74"/>
    </row>
    <row r="539" spans="14:14" x14ac:dyDescent="0.25">
      <c r="N539" s="74"/>
    </row>
    <row r="540" spans="14:14" x14ac:dyDescent="0.25">
      <c r="N540" s="74"/>
    </row>
    <row r="541" spans="14:14" x14ac:dyDescent="0.25">
      <c r="N541" s="74"/>
    </row>
    <row r="542" spans="14:14" x14ac:dyDescent="0.25">
      <c r="N542" s="74"/>
    </row>
    <row r="543" spans="14:14" x14ac:dyDescent="0.25">
      <c r="N543" s="74"/>
    </row>
    <row r="544" spans="14:14" x14ac:dyDescent="0.25">
      <c r="N544" s="74"/>
    </row>
    <row r="545" spans="14:14" x14ac:dyDescent="0.25">
      <c r="N545" s="74"/>
    </row>
    <row r="546" spans="14:14" x14ac:dyDescent="0.25">
      <c r="N546" s="74"/>
    </row>
    <row r="547" spans="14:14" x14ac:dyDescent="0.25">
      <c r="N547" s="74"/>
    </row>
    <row r="548" spans="14:14" x14ac:dyDescent="0.25">
      <c r="N548" s="74"/>
    </row>
    <row r="549" spans="14:14" x14ac:dyDescent="0.25">
      <c r="N549" s="74"/>
    </row>
    <row r="550" spans="14:14" x14ac:dyDescent="0.25">
      <c r="N550" s="74"/>
    </row>
    <row r="551" spans="14:14" x14ac:dyDescent="0.25">
      <c r="N551" s="74"/>
    </row>
    <row r="552" spans="14:14" x14ac:dyDescent="0.25">
      <c r="N552" s="74"/>
    </row>
    <row r="553" spans="14:14" x14ac:dyDescent="0.25">
      <c r="N553" s="74"/>
    </row>
    <row r="554" spans="14:14" x14ac:dyDescent="0.25">
      <c r="N554" s="74"/>
    </row>
    <row r="555" spans="14:14" x14ac:dyDescent="0.25">
      <c r="N555" s="74"/>
    </row>
    <row r="556" spans="14:14" x14ac:dyDescent="0.25">
      <c r="N556" s="74"/>
    </row>
    <row r="557" spans="14:14" x14ac:dyDescent="0.25">
      <c r="N557" s="74"/>
    </row>
    <row r="558" spans="14:14" x14ac:dyDescent="0.25">
      <c r="N558" s="74"/>
    </row>
    <row r="559" spans="14:14" x14ac:dyDescent="0.25">
      <c r="N559" s="74"/>
    </row>
    <row r="560" spans="14:14" x14ac:dyDescent="0.25">
      <c r="N560" s="74"/>
    </row>
    <row r="561" spans="14:14" x14ac:dyDescent="0.25">
      <c r="N561" s="74"/>
    </row>
    <row r="562" spans="14:14" x14ac:dyDescent="0.25">
      <c r="N562" s="74"/>
    </row>
    <row r="563" spans="14:14" x14ac:dyDescent="0.25">
      <c r="N563" s="74"/>
    </row>
    <row r="564" spans="14:14" x14ac:dyDescent="0.25">
      <c r="N564" s="74"/>
    </row>
    <row r="565" spans="14:14" x14ac:dyDescent="0.25">
      <c r="N565" s="74"/>
    </row>
    <row r="566" spans="14:14" x14ac:dyDescent="0.25">
      <c r="N566" s="74"/>
    </row>
    <row r="567" spans="14:14" x14ac:dyDescent="0.25">
      <c r="N567" s="74"/>
    </row>
    <row r="568" spans="14:14" x14ac:dyDescent="0.25">
      <c r="N568" s="74"/>
    </row>
    <row r="569" spans="14:14" x14ac:dyDescent="0.25">
      <c r="N569" s="74"/>
    </row>
    <row r="570" spans="14:14" x14ac:dyDescent="0.25">
      <c r="N570" s="74"/>
    </row>
    <row r="571" spans="14:14" x14ac:dyDescent="0.25">
      <c r="N571" s="74"/>
    </row>
    <row r="572" spans="14:14" x14ac:dyDescent="0.25">
      <c r="N572" s="74"/>
    </row>
    <row r="573" spans="14:14" x14ac:dyDescent="0.25">
      <c r="N573" s="74"/>
    </row>
    <row r="574" spans="14:14" x14ac:dyDescent="0.25">
      <c r="N574" s="74"/>
    </row>
    <row r="575" spans="14:14" x14ac:dyDescent="0.25">
      <c r="N575" s="74"/>
    </row>
    <row r="576" spans="14:14" x14ac:dyDescent="0.25">
      <c r="N576" s="74"/>
    </row>
    <row r="577" spans="14:14" x14ac:dyDescent="0.25">
      <c r="N577" s="74"/>
    </row>
    <row r="578" spans="14:14" x14ac:dyDescent="0.25">
      <c r="N578" s="74"/>
    </row>
    <row r="579" spans="14:14" x14ac:dyDescent="0.25">
      <c r="N579" s="74"/>
    </row>
    <row r="580" spans="14:14" x14ac:dyDescent="0.25">
      <c r="N580" s="74"/>
    </row>
    <row r="581" spans="14:14" x14ac:dyDescent="0.25">
      <c r="N581" s="74"/>
    </row>
    <row r="582" spans="14:14" x14ac:dyDescent="0.25">
      <c r="N582" s="74"/>
    </row>
    <row r="583" spans="14:14" x14ac:dyDescent="0.25">
      <c r="N583" s="74"/>
    </row>
    <row r="584" spans="14:14" x14ac:dyDescent="0.25">
      <c r="N584" s="74"/>
    </row>
    <row r="585" spans="14:14" x14ac:dyDescent="0.25">
      <c r="N585" s="74"/>
    </row>
    <row r="586" spans="14:14" x14ac:dyDescent="0.25">
      <c r="N586" s="74"/>
    </row>
    <row r="587" spans="14:14" x14ac:dyDescent="0.25">
      <c r="N587" s="74"/>
    </row>
    <row r="588" spans="14:14" x14ac:dyDescent="0.25">
      <c r="N588" s="74"/>
    </row>
    <row r="589" spans="14:14" x14ac:dyDescent="0.25">
      <c r="N589" s="74"/>
    </row>
    <row r="590" spans="14:14" x14ac:dyDescent="0.25">
      <c r="N590" s="74"/>
    </row>
    <row r="591" spans="14:14" x14ac:dyDescent="0.25">
      <c r="N591" s="74"/>
    </row>
    <row r="592" spans="14:14" x14ac:dyDescent="0.25">
      <c r="N592" s="74"/>
    </row>
    <row r="593" spans="14:14" x14ac:dyDescent="0.25">
      <c r="N593" s="74"/>
    </row>
    <row r="594" spans="14:14" x14ac:dyDescent="0.25">
      <c r="N594" s="74"/>
    </row>
    <row r="595" spans="14:14" x14ac:dyDescent="0.25">
      <c r="N595" s="74"/>
    </row>
    <row r="596" spans="14:14" x14ac:dyDescent="0.25">
      <c r="N596" s="74"/>
    </row>
    <row r="597" spans="14:14" x14ac:dyDescent="0.25">
      <c r="N597" s="74"/>
    </row>
    <row r="598" spans="14:14" x14ac:dyDescent="0.25">
      <c r="N598" s="74"/>
    </row>
    <row r="599" spans="14:14" x14ac:dyDescent="0.25">
      <c r="N599" s="74"/>
    </row>
    <row r="600" spans="14:14" x14ac:dyDescent="0.25">
      <c r="N600" s="74"/>
    </row>
    <row r="601" spans="14:14" x14ac:dyDescent="0.25">
      <c r="N601" s="74"/>
    </row>
    <row r="602" spans="14:14" x14ac:dyDescent="0.25">
      <c r="N602" s="74"/>
    </row>
    <row r="603" spans="14:14" x14ac:dyDescent="0.25">
      <c r="N603" s="74"/>
    </row>
    <row r="604" spans="14:14" x14ac:dyDescent="0.25">
      <c r="N604" s="74"/>
    </row>
    <row r="605" spans="14:14" x14ac:dyDescent="0.25">
      <c r="N605" s="74"/>
    </row>
    <row r="606" spans="14:14" x14ac:dyDescent="0.25">
      <c r="N606" s="74"/>
    </row>
    <row r="607" spans="14:14" x14ac:dyDescent="0.25">
      <c r="N607" s="74"/>
    </row>
    <row r="608" spans="14:14" x14ac:dyDescent="0.25">
      <c r="N608" s="74"/>
    </row>
    <row r="609" spans="14:14" x14ac:dyDescent="0.25">
      <c r="N609" s="74"/>
    </row>
    <row r="610" spans="14:14" x14ac:dyDescent="0.25">
      <c r="N610" s="74"/>
    </row>
    <row r="611" spans="14:14" x14ac:dyDescent="0.25">
      <c r="N611" s="74"/>
    </row>
    <row r="612" spans="14:14" x14ac:dyDescent="0.25">
      <c r="N612" s="74"/>
    </row>
    <row r="613" spans="14:14" x14ac:dyDescent="0.25">
      <c r="N613" s="74"/>
    </row>
    <row r="614" spans="14:14" x14ac:dyDescent="0.25">
      <c r="N614" s="74"/>
    </row>
    <row r="615" spans="14:14" x14ac:dyDescent="0.25">
      <c r="N615" s="74"/>
    </row>
    <row r="616" spans="14:14" x14ac:dyDescent="0.25">
      <c r="N616" s="74"/>
    </row>
    <row r="617" spans="14:14" x14ac:dyDescent="0.25">
      <c r="N617" s="74"/>
    </row>
    <row r="618" spans="14:14" x14ac:dyDescent="0.25">
      <c r="N618" s="74"/>
    </row>
    <row r="619" spans="14:14" x14ac:dyDescent="0.25">
      <c r="N619" s="74"/>
    </row>
    <row r="620" spans="14:14" x14ac:dyDescent="0.25">
      <c r="N620" s="74"/>
    </row>
    <row r="621" spans="14:14" x14ac:dyDescent="0.25">
      <c r="N621" s="74"/>
    </row>
    <row r="622" spans="14:14" x14ac:dyDescent="0.25">
      <c r="N622" s="74"/>
    </row>
    <row r="623" spans="14:14" x14ac:dyDescent="0.25">
      <c r="N623" s="74"/>
    </row>
    <row r="624" spans="14:14" x14ac:dyDescent="0.25">
      <c r="N624" s="74"/>
    </row>
    <row r="625" spans="14:14" x14ac:dyDescent="0.25">
      <c r="N625" s="74"/>
    </row>
    <row r="626" spans="14:14" x14ac:dyDescent="0.25">
      <c r="N626" s="74"/>
    </row>
    <row r="627" spans="14:14" x14ac:dyDescent="0.25">
      <c r="N627" s="74"/>
    </row>
    <row r="628" spans="14:14" x14ac:dyDescent="0.25">
      <c r="N628" s="74"/>
    </row>
    <row r="629" spans="14:14" x14ac:dyDescent="0.25">
      <c r="N629" s="74"/>
    </row>
    <row r="630" spans="14:14" x14ac:dyDescent="0.25">
      <c r="N630" s="74"/>
    </row>
    <row r="631" spans="14:14" x14ac:dyDescent="0.25">
      <c r="N631" s="74"/>
    </row>
    <row r="632" spans="14:14" x14ac:dyDescent="0.25">
      <c r="N632" s="74"/>
    </row>
    <row r="633" spans="14:14" x14ac:dyDescent="0.25">
      <c r="N633" s="74"/>
    </row>
    <row r="634" spans="14:14" x14ac:dyDescent="0.25">
      <c r="N634" s="74"/>
    </row>
    <row r="635" spans="14:14" x14ac:dyDescent="0.25">
      <c r="N635" s="74"/>
    </row>
    <row r="636" spans="14:14" x14ac:dyDescent="0.25">
      <c r="N636" s="74"/>
    </row>
    <row r="637" spans="14:14" x14ac:dyDescent="0.25">
      <c r="N637" s="74"/>
    </row>
    <row r="638" spans="14:14" x14ac:dyDescent="0.25">
      <c r="N638" s="74"/>
    </row>
    <row r="639" spans="14:14" x14ac:dyDescent="0.25">
      <c r="N639" s="74"/>
    </row>
    <row r="640" spans="14:14" x14ac:dyDescent="0.25">
      <c r="N640" s="74"/>
    </row>
    <row r="641" spans="14:14" x14ac:dyDescent="0.25">
      <c r="N641" s="74"/>
    </row>
    <row r="642" spans="14:14" x14ac:dyDescent="0.25">
      <c r="N642" s="74"/>
    </row>
    <row r="643" spans="14:14" x14ac:dyDescent="0.25">
      <c r="N643" s="74"/>
    </row>
    <row r="644" spans="14:14" x14ac:dyDescent="0.25">
      <c r="N644" s="74"/>
    </row>
    <row r="645" spans="14:14" x14ac:dyDescent="0.25">
      <c r="N645" s="74"/>
    </row>
    <row r="646" spans="14:14" x14ac:dyDescent="0.25">
      <c r="N646" s="74"/>
    </row>
    <row r="647" spans="14:14" x14ac:dyDescent="0.25">
      <c r="N647" s="74"/>
    </row>
    <row r="648" spans="14:14" x14ac:dyDescent="0.25">
      <c r="N648" s="74"/>
    </row>
    <row r="649" spans="14:14" x14ac:dyDescent="0.25">
      <c r="N649" s="74"/>
    </row>
    <row r="650" spans="14:14" x14ac:dyDescent="0.25">
      <c r="N650" s="74"/>
    </row>
    <row r="651" spans="14:14" x14ac:dyDescent="0.25">
      <c r="N651" s="74"/>
    </row>
    <row r="652" spans="14:14" x14ac:dyDescent="0.25">
      <c r="N652" s="74"/>
    </row>
    <row r="653" spans="14:14" x14ac:dyDescent="0.25">
      <c r="N653" s="74"/>
    </row>
    <row r="654" spans="14:14" x14ac:dyDescent="0.25">
      <c r="N654" s="74"/>
    </row>
    <row r="655" spans="14:14" x14ac:dyDescent="0.25">
      <c r="N655" s="74"/>
    </row>
    <row r="656" spans="14:14" x14ac:dyDescent="0.25">
      <c r="N656" s="74"/>
    </row>
    <row r="657" spans="14:14" x14ac:dyDescent="0.25">
      <c r="N657" s="74"/>
    </row>
    <row r="658" spans="14:14" x14ac:dyDescent="0.25">
      <c r="N658" s="74"/>
    </row>
    <row r="659" spans="14:14" x14ac:dyDescent="0.25">
      <c r="N659" s="74"/>
    </row>
    <row r="660" spans="14:14" x14ac:dyDescent="0.25">
      <c r="N660" s="74"/>
    </row>
    <row r="661" spans="14:14" x14ac:dyDescent="0.25">
      <c r="N661" s="74"/>
    </row>
    <row r="662" spans="14:14" x14ac:dyDescent="0.25">
      <c r="N662" s="74"/>
    </row>
    <row r="663" spans="14:14" x14ac:dyDescent="0.25">
      <c r="N663" s="74"/>
    </row>
    <row r="664" spans="14:14" x14ac:dyDescent="0.25">
      <c r="N664" s="74"/>
    </row>
    <row r="665" spans="14:14" x14ac:dyDescent="0.25">
      <c r="N665" s="74"/>
    </row>
    <row r="666" spans="14:14" x14ac:dyDescent="0.25">
      <c r="N666" s="74"/>
    </row>
    <row r="667" spans="14:14" x14ac:dyDescent="0.25">
      <c r="N667" s="74"/>
    </row>
    <row r="668" spans="14:14" x14ac:dyDescent="0.25">
      <c r="N668" s="74"/>
    </row>
    <row r="669" spans="14:14" x14ac:dyDescent="0.25">
      <c r="N669" s="74"/>
    </row>
    <row r="670" spans="14:14" x14ac:dyDescent="0.25">
      <c r="N670" s="74"/>
    </row>
    <row r="671" spans="14:14" x14ac:dyDescent="0.25">
      <c r="N671" s="74"/>
    </row>
    <row r="672" spans="14:14" x14ac:dyDescent="0.25">
      <c r="N672" s="74"/>
    </row>
    <row r="673" spans="14:14" x14ac:dyDescent="0.25">
      <c r="N673" s="74"/>
    </row>
    <row r="674" spans="14:14" x14ac:dyDescent="0.25">
      <c r="N674" s="74"/>
    </row>
    <row r="675" spans="14:14" x14ac:dyDescent="0.25">
      <c r="N675" s="74"/>
    </row>
    <row r="676" spans="14:14" x14ac:dyDescent="0.25">
      <c r="N676" s="74"/>
    </row>
    <row r="677" spans="14:14" x14ac:dyDescent="0.25">
      <c r="N677" s="74"/>
    </row>
    <row r="678" spans="14:14" x14ac:dyDescent="0.25">
      <c r="N678" s="74"/>
    </row>
    <row r="679" spans="14:14" x14ac:dyDescent="0.25">
      <c r="N679" s="74"/>
    </row>
    <row r="680" spans="14:14" x14ac:dyDescent="0.25">
      <c r="N680" s="74"/>
    </row>
    <row r="681" spans="14:14" x14ac:dyDescent="0.25">
      <c r="N681" s="74"/>
    </row>
    <row r="682" spans="14:14" x14ac:dyDescent="0.25">
      <c r="N682" s="74"/>
    </row>
    <row r="683" spans="14:14" x14ac:dyDescent="0.25">
      <c r="N683" s="74"/>
    </row>
    <row r="684" spans="14:14" x14ac:dyDescent="0.25">
      <c r="N684" s="74"/>
    </row>
    <row r="685" spans="14:14" x14ac:dyDescent="0.25">
      <c r="N685" s="74"/>
    </row>
    <row r="686" spans="14:14" x14ac:dyDescent="0.25">
      <c r="N686" s="74"/>
    </row>
    <row r="687" spans="14:14" x14ac:dyDescent="0.25">
      <c r="N687" s="74"/>
    </row>
    <row r="688" spans="14:14" x14ac:dyDescent="0.25">
      <c r="N688" s="74"/>
    </row>
    <row r="689" spans="14:14" x14ac:dyDescent="0.25">
      <c r="N689" s="74"/>
    </row>
    <row r="690" spans="14:14" x14ac:dyDescent="0.25">
      <c r="N690" s="74"/>
    </row>
    <row r="691" spans="14:14" x14ac:dyDescent="0.25">
      <c r="N691" s="74"/>
    </row>
    <row r="692" spans="14:14" x14ac:dyDescent="0.25">
      <c r="N692" s="74"/>
    </row>
    <row r="693" spans="14:14" x14ac:dyDescent="0.25">
      <c r="N693" s="74"/>
    </row>
    <row r="694" spans="14:14" x14ac:dyDescent="0.25">
      <c r="N694" s="74"/>
    </row>
    <row r="695" spans="14:14" x14ac:dyDescent="0.25">
      <c r="N695" s="74"/>
    </row>
    <row r="696" spans="14:14" x14ac:dyDescent="0.25">
      <c r="N696" s="74"/>
    </row>
    <row r="697" spans="14:14" x14ac:dyDescent="0.25">
      <c r="N697" s="74"/>
    </row>
    <row r="698" spans="14:14" x14ac:dyDescent="0.25">
      <c r="N698" s="74"/>
    </row>
    <row r="699" spans="14:14" x14ac:dyDescent="0.25">
      <c r="N699" s="74"/>
    </row>
    <row r="700" spans="14:14" x14ac:dyDescent="0.25">
      <c r="N700" s="74"/>
    </row>
    <row r="701" spans="14:14" x14ac:dyDescent="0.25">
      <c r="N701" s="74"/>
    </row>
    <row r="702" spans="14:14" x14ac:dyDescent="0.25">
      <c r="N702" s="74"/>
    </row>
    <row r="703" spans="14:14" x14ac:dyDescent="0.25">
      <c r="N703" s="74"/>
    </row>
    <row r="704" spans="14:14" x14ac:dyDescent="0.25">
      <c r="N704" s="74"/>
    </row>
    <row r="705" spans="14:14" x14ac:dyDescent="0.25">
      <c r="N705" s="74"/>
    </row>
    <row r="706" spans="14:14" x14ac:dyDescent="0.25">
      <c r="N706" s="74"/>
    </row>
    <row r="707" spans="14:14" x14ac:dyDescent="0.25">
      <c r="N707" s="74"/>
    </row>
    <row r="708" spans="14:14" x14ac:dyDescent="0.25">
      <c r="N708" s="74"/>
    </row>
    <row r="709" spans="14:14" x14ac:dyDescent="0.25">
      <c r="N709" s="74"/>
    </row>
    <row r="710" spans="14:14" x14ac:dyDescent="0.25">
      <c r="N710" s="74"/>
    </row>
    <row r="711" spans="14:14" x14ac:dyDescent="0.25">
      <c r="N711" s="74"/>
    </row>
    <row r="712" spans="14:14" x14ac:dyDescent="0.25">
      <c r="N712" s="74"/>
    </row>
    <row r="713" spans="14:14" x14ac:dyDescent="0.25">
      <c r="N713" s="74"/>
    </row>
    <row r="714" spans="14:14" x14ac:dyDescent="0.25">
      <c r="N714" s="74"/>
    </row>
    <row r="715" spans="14:14" x14ac:dyDescent="0.25">
      <c r="N715" s="74"/>
    </row>
    <row r="716" spans="14:14" x14ac:dyDescent="0.25">
      <c r="N716" s="74"/>
    </row>
    <row r="717" spans="14:14" x14ac:dyDescent="0.25">
      <c r="N717" s="74"/>
    </row>
    <row r="718" spans="14:14" x14ac:dyDescent="0.25">
      <c r="N718" s="74"/>
    </row>
    <row r="719" spans="14:14" x14ac:dyDescent="0.25">
      <c r="N719" s="74"/>
    </row>
    <row r="720" spans="14:14" x14ac:dyDescent="0.25">
      <c r="N720" s="74"/>
    </row>
    <row r="721" spans="14:14" x14ac:dyDescent="0.25">
      <c r="N721" s="74"/>
    </row>
    <row r="722" spans="14:14" x14ac:dyDescent="0.25">
      <c r="N722" s="74"/>
    </row>
    <row r="723" spans="14:14" x14ac:dyDescent="0.25">
      <c r="N723" s="74"/>
    </row>
    <row r="724" spans="14:14" x14ac:dyDescent="0.25">
      <c r="N724" s="74"/>
    </row>
    <row r="725" spans="14:14" x14ac:dyDescent="0.25">
      <c r="N725" s="74"/>
    </row>
    <row r="726" spans="14:14" x14ac:dyDescent="0.25">
      <c r="N726" s="74"/>
    </row>
    <row r="727" spans="14:14" x14ac:dyDescent="0.25">
      <c r="N727" s="74"/>
    </row>
    <row r="728" spans="14:14" x14ac:dyDescent="0.25">
      <c r="N728" s="74"/>
    </row>
    <row r="729" spans="14:14" x14ac:dyDescent="0.25">
      <c r="N729" s="74"/>
    </row>
    <row r="730" spans="14:14" x14ac:dyDescent="0.25">
      <c r="N730" s="74"/>
    </row>
    <row r="731" spans="14:14" x14ac:dyDescent="0.25">
      <c r="N731" s="74"/>
    </row>
    <row r="732" spans="14:14" x14ac:dyDescent="0.25">
      <c r="N732" s="74"/>
    </row>
    <row r="733" spans="14:14" x14ac:dyDescent="0.25">
      <c r="N733" s="74"/>
    </row>
    <row r="734" spans="14:14" x14ac:dyDescent="0.25">
      <c r="N734" s="74"/>
    </row>
    <row r="735" spans="14:14" x14ac:dyDescent="0.25">
      <c r="N735" s="74"/>
    </row>
    <row r="736" spans="14:14" x14ac:dyDescent="0.25">
      <c r="N736" s="74"/>
    </row>
    <row r="737" spans="14:14" x14ac:dyDescent="0.25">
      <c r="N737" s="74"/>
    </row>
    <row r="738" spans="14:14" x14ac:dyDescent="0.25">
      <c r="N738" s="74"/>
    </row>
    <row r="739" spans="14:14" x14ac:dyDescent="0.25">
      <c r="N739" s="74"/>
    </row>
    <row r="740" spans="14:14" x14ac:dyDescent="0.25">
      <c r="N740" s="74"/>
    </row>
    <row r="741" spans="14:14" x14ac:dyDescent="0.25">
      <c r="N741" s="74"/>
    </row>
    <row r="742" spans="14:14" x14ac:dyDescent="0.25">
      <c r="N742" s="74"/>
    </row>
    <row r="743" spans="14:14" x14ac:dyDescent="0.25">
      <c r="N743" s="74"/>
    </row>
    <row r="744" spans="14:14" x14ac:dyDescent="0.25">
      <c r="N744" s="74"/>
    </row>
    <row r="745" spans="14:14" x14ac:dyDescent="0.25">
      <c r="N745" s="74"/>
    </row>
    <row r="746" spans="14:14" x14ac:dyDescent="0.25">
      <c r="N746" s="74"/>
    </row>
    <row r="747" spans="14:14" x14ac:dyDescent="0.25">
      <c r="N747" s="74"/>
    </row>
    <row r="748" spans="14:14" x14ac:dyDescent="0.25">
      <c r="N748" s="74"/>
    </row>
    <row r="749" spans="14:14" x14ac:dyDescent="0.25">
      <c r="N749" s="74"/>
    </row>
    <row r="750" spans="14:14" x14ac:dyDescent="0.25">
      <c r="N750" s="74"/>
    </row>
    <row r="751" spans="14:14" x14ac:dyDescent="0.25">
      <c r="N751" s="74"/>
    </row>
    <row r="752" spans="14:14" x14ac:dyDescent="0.25">
      <c r="N752" s="74"/>
    </row>
    <row r="753" spans="14:14" x14ac:dyDescent="0.25">
      <c r="N753" s="74"/>
    </row>
    <row r="754" spans="14:14" x14ac:dyDescent="0.25">
      <c r="N754" s="74"/>
    </row>
    <row r="755" spans="14:14" x14ac:dyDescent="0.25">
      <c r="N755" s="74"/>
    </row>
    <row r="756" spans="14:14" x14ac:dyDescent="0.25">
      <c r="N756" s="74"/>
    </row>
    <row r="757" spans="14:14" x14ac:dyDescent="0.25">
      <c r="N757" s="74"/>
    </row>
    <row r="758" spans="14:14" x14ac:dyDescent="0.25">
      <c r="N758" s="74"/>
    </row>
    <row r="759" spans="14:14" x14ac:dyDescent="0.25">
      <c r="N759" s="74"/>
    </row>
    <row r="760" spans="14:14" x14ac:dyDescent="0.25">
      <c r="N760" s="74"/>
    </row>
    <row r="761" spans="14:14" x14ac:dyDescent="0.25">
      <c r="N761" s="74"/>
    </row>
    <row r="762" spans="14:14" x14ac:dyDescent="0.25">
      <c r="N762" s="74"/>
    </row>
    <row r="763" spans="14:14" x14ac:dyDescent="0.25">
      <c r="N763" s="74"/>
    </row>
    <row r="764" spans="14:14" x14ac:dyDescent="0.25">
      <c r="N764" s="74"/>
    </row>
    <row r="765" spans="14:14" x14ac:dyDescent="0.25">
      <c r="N765" s="74"/>
    </row>
    <row r="766" spans="14:14" x14ac:dyDescent="0.25">
      <c r="N766" s="74"/>
    </row>
    <row r="767" spans="14:14" x14ac:dyDescent="0.25">
      <c r="N767" s="74"/>
    </row>
    <row r="768" spans="14:14" x14ac:dyDescent="0.25">
      <c r="N768" s="74"/>
    </row>
    <row r="769" spans="14:14" x14ac:dyDescent="0.25">
      <c r="N769" s="74"/>
    </row>
    <row r="770" spans="14:14" x14ac:dyDescent="0.25">
      <c r="N770" s="74"/>
    </row>
    <row r="771" spans="14:14" x14ac:dyDescent="0.25">
      <c r="N771" s="74"/>
    </row>
    <row r="772" spans="14:14" x14ac:dyDescent="0.25">
      <c r="N772" s="74"/>
    </row>
    <row r="773" spans="14:14" x14ac:dyDescent="0.25">
      <c r="N773" s="74"/>
    </row>
    <row r="774" spans="14:14" x14ac:dyDescent="0.25">
      <c r="N774" s="74"/>
    </row>
    <row r="775" spans="14:14" x14ac:dyDescent="0.25">
      <c r="N775" s="74"/>
    </row>
    <row r="776" spans="14:14" x14ac:dyDescent="0.25">
      <c r="N776" s="74"/>
    </row>
    <row r="777" spans="14:14" x14ac:dyDescent="0.25">
      <c r="N777" s="74"/>
    </row>
    <row r="778" spans="14:14" x14ac:dyDescent="0.25">
      <c r="N778" s="74"/>
    </row>
    <row r="779" spans="14:14" x14ac:dyDescent="0.25">
      <c r="N779" s="74"/>
    </row>
    <row r="780" spans="14:14" x14ac:dyDescent="0.25">
      <c r="N780" s="74"/>
    </row>
    <row r="781" spans="14:14" x14ac:dyDescent="0.25">
      <c r="N781" s="74"/>
    </row>
    <row r="782" spans="14:14" x14ac:dyDescent="0.25">
      <c r="N782" s="74"/>
    </row>
    <row r="783" spans="14:14" x14ac:dyDescent="0.25">
      <c r="N783" s="74"/>
    </row>
    <row r="784" spans="14:14" x14ac:dyDescent="0.25">
      <c r="N784" s="74"/>
    </row>
    <row r="785" spans="14:14" x14ac:dyDescent="0.25">
      <c r="N785" s="74"/>
    </row>
    <row r="786" spans="14:14" x14ac:dyDescent="0.25">
      <c r="N786" s="74"/>
    </row>
    <row r="787" spans="14:14" x14ac:dyDescent="0.25">
      <c r="N787" s="74"/>
    </row>
    <row r="788" spans="14:14" x14ac:dyDescent="0.25">
      <c r="N788" s="74"/>
    </row>
    <row r="789" spans="14:14" x14ac:dyDescent="0.25">
      <c r="N789" s="74"/>
    </row>
    <row r="790" spans="14:14" x14ac:dyDescent="0.25">
      <c r="N790" s="74"/>
    </row>
    <row r="791" spans="14:14" x14ac:dyDescent="0.25">
      <c r="N791" s="74"/>
    </row>
    <row r="792" spans="14:14" x14ac:dyDescent="0.25">
      <c r="N792" s="74"/>
    </row>
    <row r="793" spans="14:14" x14ac:dyDescent="0.25">
      <c r="N793" s="74"/>
    </row>
    <row r="794" spans="14:14" x14ac:dyDescent="0.25">
      <c r="N794" s="74"/>
    </row>
    <row r="795" spans="14:14" x14ac:dyDescent="0.25">
      <c r="N795" s="74"/>
    </row>
    <row r="796" spans="14:14" x14ac:dyDescent="0.25">
      <c r="N796" s="74"/>
    </row>
    <row r="797" spans="14:14" x14ac:dyDescent="0.25">
      <c r="N797" s="74"/>
    </row>
    <row r="798" spans="14:14" x14ac:dyDescent="0.25">
      <c r="N798" s="74"/>
    </row>
    <row r="799" spans="14:14" x14ac:dyDescent="0.25">
      <c r="N799" s="74"/>
    </row>
    <row r="800" spans="14:14" x14ac:dyDescent="0.25">
      <c r="N800" s="74"/>
    </row>
    <row r="801" spans="14:14" x14ac:dyDescent="0.25">
      <c r="N801" s="74"/>
    </row>
    <row r="802" spans="14:14" x14ac:dyDescent="0.25">
      <c r="N802" s="74"/>
    </row>
    <row r="803" spans="14:14" x14ac:dyDescent="0.25">
      <c r="N803" s="74"/>
    </row>
    <row r="804" spans="14:14" x14ac:dyDescent="0.25">
      <c r="N804" s="74"/>
    </row>
    <row r="805" spans="14:14" x14ac:dyDescent="0.25">
      <c r="N805" s="74"/>
    </row>
    <row r="806" spans="14:14" x14ac:dyDescent="0.25">
      <c r="N806" s="74"/>
    </row>
    <row r="807" spans="14:14" x14ac:dyDescent="0.25">
      <c r="N807" s="74"/>
    </row>
    <row r="808" spans="14:14" x14ac:dyDescent="0.25">
      <c r="N808" s="74"/>
    </row>
    <row r="809" spans="14:14" x14ac:dyDescent="0.25">
      <c r="N809" s="74"/>
    </row>
    <row r="810" spans="14:14" x14ac:dyDescent="0.25">
      <c r="N810" s="74"/>
    </row>
    <row r="811" spans="14:14" x14ac:dyDescent="0.25">
      <c r="N811" s="74"/>
    </row>
    <row r="812" spans="14:14" x14ac:dyDescent="0.25">
      <c r="N812" s="74"/>
    </row>
    <row r="813" spans="14:14" x14ac:dyDescent="0.25">
      <c r="N813" s="74"/>
    </row>
    <row r="814" spans="14:14" x14ac:dyDescent="0.25">
      <c r="N814" s="74"/>
    </row>
    <row r="815" spans="14:14" x14ac:dyDescent="0.25">
      <c r="N815" s="74"/>
    </row>
    <row r="816" spans="14:14" x14ac:dyDescent="0.25">
      <c r="N816" s="74"/>
    </row>
    <row r="817" spans="14:14" x14ac:dyDescent="0.25">
      <c r="N817" s="74"/>
    </row>
    <row r="818" spans="14:14" x14ac:dyDescent="0.25">
      <c r="N818" s="74"/>
    </row>
    <row r="819" spans="14:14" x14ac:dyDescent="0.25">
      <c r="N819" s="74"/>
    </row>
    <row r="820" spans="14:14" x14ac:dyDescent="0.25">
      <c r="N820" s="74"/>
    </row>
    <row r="821" spans="14:14" x14ac:dyDescent="0.25">
      <c r="N821" s="74"/>
    </row>
    <row r="822" spans="14:14" x14ac:dyDescent="0.25">
      <c r="N822" s="74"/>
    </row>
    <row r="823" spans="14:14" x14ac:dyDescent="0.25">
      <c r="N823" s="74"/>
    </row>
    <row r="824" spans="14:14" x14ac:dyDescent="0.25">
      <c r="N824" s="74"/>
    </row>
    <row r="825" spans="14:14" x14ac:dyDescent="0.25">
      <c r="N825" s="74"/>
    </row>
    <row r="826" spans="14:14" x14ac:dyDescent="0.25">
      <c r="N826" s="74"/>
    </row>
    <row r="827" spans="14:14" x14ac:dyDescent="0.25">
      <c r="N827" s="74"/>
    </row>
    <row r="828" spans="14:14" x14ac:dyDescent="0.25">
      <c r="N828" s="74"/>
    </row>
    <row r="829" spans="14:14" x14ac:dyDescent="0.25">
      <c r="N829" s="74"/>
    </row>
    <row r="830" spans="14:14" x14ac:dyDescent="0.25">
      <c r="N830" s="74"/>
    </row>
    <row r="831" spans="14:14" x14ac:dyDescent="0.25">
      <c r="N831" s="74"/>
    </row>
    <row r="832" spans="14:14" x14ac:dyDescent="0.25">
      <c r="N832" s="74"/>
    </row>
    <row r="833" spans="14:14" x14ac:dyDescent="0.25">
      <c r="N833" s="74"/>
    </row>
    <row r="834" spans="14:14" x14ac:dyDescent="0.25">
      <c r="N834" s="74"/>
    </row>
    <row r="835" spans="14:14" x14ac:dyDescent="0.25">
      <c r="N835" s="74"/>
    </row>
    <row r="836" spans="14:14" x14ac:dyDescent="0.25">
      <c r="N836" s="74"/>
    </row>
    <row r="837" spans="14:14" x14ac:dyDescent="0.25">
      <c r="N837" s="74"/>
    </row>
    <row r="838" spans="14:14" x14ac:dyDescent="0.25">
      <c r="N838" s="74"/>
    </row>
    <row r="839" spans="14:14" x14ac:dyDescent="0.25">
      <c r="N839" s="74"/>
    </row>
    <row r="840" spans="14:14" x14ac:dyDescent="0.25">
      <c r="N840" s="74"/>
    </row>
    <row r="841" spans="14:14" x14ac:dyDescent="0.25">
      <c r="N841" s="74"/>
    </row>
    <row r="842" spans="14:14" x14ac:dyDescent="0.25">
      <c r="N842" s="74"/>
    </row>
    <row r="843" spans="14:14" x14ac:dyDescent="0.25">
      <c r="N843" s="74"/>
    </row>
    <row r="844" spans="14:14" x14ac:dyDescent="0.25">
      <c r="N844" s="74"/>
    </row>
    <row r="845" spans="14:14" x14ac:dyDescent="0.25">
      <c r="N845" s="74"/>
    </row>
    <row r="846" spans="14:14" x14ac:dyDescent="0.25">
      <c r="N846" s="74"/>
    </row>
    <row r="847" spans="14:14" x14ac:dyDescent="0.25">
      <c r="N847" s="74"/>
    </row>
    <row r="848" spans="14:14" x14ac:dyDescent="0.25">
      <c r="N848" s="74"/>
    </row>
    <row r="849" spans="14:14" x14ac:dyDescent="0.25">
      <c r="N849" s="74"/>
    </row>
    <row r="850" spans="14:14" x14ac:dyDescent="0.25">
      <c r="N850" s="74"/>
    </row>
    <row r="851" spans="14:14" x14ac:dyDescent="0.25">
      <c r="N851" s="74"/>
    </row>
    <row r="852" spans="14:14" x14ac:dyDescent="0.25">
      <c r="N852" s="74"/>
    </row>
    <row r="853" spans="14:14" x14ac:dyDescent="0.25">
      <c r="N853" s="74"/>
    </row>
    <row r="854" spans="14:14" x14ac:dyDescent="0.25">
      <c r="N854" s="74"/>
    </row>
    <row r="855" spans="14:14" x14ac:dyDescent="0.25">
      <c r="N855" s="74"/>
    </row>
    <row r="856" spans="14:14" x14ac:dyDescent="0.25">
      <c r="N856" s="74"/>
    </row>
    <row r="857" spans="14:14" x14ac:dyDescent="0.25">
      <c r="N857" s="74"/>
    </row>
    <row r="858" spans="14:14" x14ac:dyDescent="0.25">
      <c r="N858" s="74"/>
    </row>
    <row r="859" spans="14:14" x14ac:dyDescent="0.25">
      <c r="N859" s="74"/>
    </row>
    <row r="860" spans="14:14" x14ac:dyDescent="0.25">
      <c r="N860" s="74"/>
    </row>
    <row r="861" spans="14:14" x14ac:dyDescent="0.25">
      <c r="N861" s="74"/>
    </row>
    <row r="862" spans="14:14" x14ac:dyDescent="0.25">
      <c r="N862" s="74"/>
    </row>
    <row r="863" spans="14:14" x14ac:dyDescent="0.25">
      <c r="N863" s="74"/>
    </row>
    <row r="864" spans="14:14" x14ac:dyDescent="0.25">
      <c r="N864" s="74"/>
    </row>
    <row r="865" spans="14:14" x14ac:dyDescent="0.25">
      <c r="N865" s="74"/>
    </row>
    <row r="866" spans="14:14" x14ac:dyDescent="0.25">
      <c r="N866" s="74"/>
    </row>
    <row r="867" spans="14:14" x14ac:dyDescent="0.25">
      <c r="N867" s="74"/>
    </row>
    <row r="868" spans="14:14" x14ac:dyDescent="0.25">
      <c r="N868" s="74"/>
    </row>
    <row r="869" spans="14:14" x14ac:dyDescent="0.25">
      <c r="N869" s="74"/>
    </row>
    <row r="870" spans="14:14" x14ac:dyDescent="0.25">
      <c r="N870" s="74"/>
    </row>
    <row r="871" spans="14:14" x14ac:dyDescent="0.25">
      <c r="N871" s="74"/>
    </row>
    <row r="872" spans="14:14" x14ac:dyDescent="0.25">
      <c r="N872" s="74"/>
    </row>
    <row r="873" spans="14:14" x14ac:dyDescent="0.25">
      <c r="N873" s="74"/>
    </row>
    <row r="874" spans="14:14" x14ac:dyDescent="0.25">
      <c r="N874" s="74"/>
    </row>
    <row r="875" spans="14:14" x14ac:dyDescent="0.25">
      <c r="N875" s="74"/>
    </row>
    <row r="876" spans="14:14" x14ac:dyDescent="0.25">
      <c r="N876" s="74"/>
    </row>
    <row r="877" spans="14:14" x14ac:dyDescent="0.25">
      <c r="N877" s="74"/>
    </row>
    <row r="878" spans="14:14" x14ac:dyDescent="0.25">
      <c r="N878" s="74"/>
    </row>
    <row r="879" spans="14:14" x14ac:dyDescent="0.25">
      <c r="N879" s="74"/>
    </row>
    <row r="880" spans="14:14" x14ac:dyDescent="0.25">
      <c r="N880" s="74"/>
    </row>
    <row r="881" spans="14:14" x14ac:dyDescent="0.25">
      <c r="N881" s="74"/>
    </row>
    <row r="882" spans="14:14" x14ac:dyDescent="0.25">
      <c r="N882" s="74"/>
    </row>
    <row r="883" spans="14:14" x14ac:dyDescent="0.25">
      <c r="N883" s="74"/>
    </row>
    <row r="884" spans="14:14" x14ac:dyDescent="0.25">
      <c r="N884" s="74"/>
    </row>
    <row r="885" spans="14:14" x14ac:dyDescent="0.25">
      <c r="N885" s="74"/>
    </row>
    <row r="886" spans="14:14" x14ac:dyDescent="0.25">
      <c r="N886" s="74"/>
    </row>
    <row r="887" spans="14:14" x14ac:dyDescent="0.25">
      <c r="N887" s="74"/>
    </row>
    <row r="888" spans="14:14" x14ac:dyDescent="0.25">
      <c r="N888" s="74"/>
    </row>
    <row r="889" spans="14:14" x14ac:dyDescent="0.25">
      <c r="N889" s="74"/>
    </row>
    <row r="890" spans="14:14" x14ac:dyDescent="0.25">
      <c r="N890" s="74"/>
    </row>
    <row r="891" spans="14:14" x14ac:dyDescent="0.25">
      <c r="N891" s="74"/>
    </row>
    <row r="892" spans="14:14" x14ac:dyDescent="0.25">
      <c r="N892" s="74"/>
    </row>
    <row r="893" spans="14:14" x14ac:dyDescent="0.25">
      <c r="N893" s="74"/>
    </row>
    <row r="894" spans="14:14" x14ac:dyDescent="0.25">
      <c r="N894" s="74"/>
    </row>
    <row r="895" spans="14:14" x14ac:dyDescent="0.25">
      <c r="N895" s="74"/>
    </row>
    <row r="896" spans="14:14" x14ac:dyDescent="0.25">
      <c r="N896" s="74"/>
    </row>
    <row r="897" spans="14:14" x14ac:dyDescent="0.25">
      <c r="N897" s="74"/>
    </row>
    <row r="898" spans="14:14" x14ac:dyDescent="0.25">
      <c r="N898" s="74"/>
    </row>
    <row r="899" spans="14:14" x14ac:dyDescent="0.25">
      <c r="N899" s="74"/>
    </row>
    <row r="900" spans="14:14" x14ac:dyDescent="0.25">
      <c r="N900" s="74"/>
    </row>
    <row r="901" spans="14:14" x14ac:dyDescent="0.25">
      <c r="N901" s="74"/>
    </row>
    <row r="902" spans="14:14" x14ac:dyDescent="0.25">
      <c r="N902" s="74"/>
    </row>
    <row r="903" spans="14:14" x14ac:dyDescent="0.25">
      <c r="N903" s="74"/>
    </row>
    <row r="904" spans="14:14" x14ac:dyDescent="0.25">
      <c r="N904" s="74"/>
    </row>
    <row r="905" spans="14:14" x14ac:dyDescent="0.25">
      <c r="N905" s="74"/>
    </row>
    <row r="906" spans="14:14" x14ac:dyDescent="0.25">
      <c r="N906" s="74"/>
    </row>
    <row r="907" spans="14:14" x14ac:dyDescent="0.25">
      <c r="N907" s="74"/>
    </row>
    <row r="908" spans="14:14" x14ac:dyDescent="0.25">
      <c r="N908" s="74"/>
    </row>
    <row r="909" spans="14:14" x14ac:dyDescent="0.25">
      <c r="N909" s="74"/>
    </row>
    <row r="910" spans="14:14" x14ac:dyDescent="0.25">
      <c r="N910" s="74"/>
    </row>
    <row r="911" spans="14:14" x14ac:dyDescent="0.25">
      <c r="N911" s="74"/>
    </row>
    <row r="912" spans="14:14" x14ac:dyDescent="0.25">
      <c r="N912" s="74"/>
    </row>
    <row r="913" spans="14:14" x14ac:dyDescent="0.25">
      <c r="N913" s="74"/>
    </row>
    <row r="914" spans="14:14" x14ac:dyDescent="0.25">
      <c r="N914" s="74"/>
    </row>
    <row r="915" spans="14:14" x14ac:dyDescent="0.25">
      <c r="N915" s="74"/>
    </row>
    <row r="916" spans="14:14" x14ac:dyDescent="0.25">
      <c r="N916" s="74"/>
    </row>
    <row r="917" spans="14:14" x14ac:dyDescent="0.25">
      <c r="N917" s="74"/>
    </row>
    <row r="918" spans="14:14" x14ac:dyDescent="0.25">
      <c r="N918" s="74"/>
    </row>
    <row r="919" spans="14:14" x14ac:dyDescent="0.25">
      <c r="N919" s="74"/>
    </row>
    <row r="920" spans="14:14" x14ac:dyDescent="0.25">
      <c r="N920" s="74"/>
    </row>
    <row r="921" spans="14:14" x14ac:dyDescent="0.25">
      <c r="N921" s="74"/>
    </row>
    <row r="922" spans="14:14" x14ac:dyDescent="0.25">
      <c r="N922" s="74"/>
    </row>
    <row r="923" spans="14:14" x14ac:dyDescent="0.25">
      <c r="N923" s="74"/>
    </row>
    <row r="924" spans="14:14" x14ac:dyDescent="0.25">
      <c r="N924" s="74"/>
    </row>
    <row r="925" spans="14:14" x14ac:dyDescent="0.25">
      <c r="N925" s="74"/>
    </row>
    <row r="926" spans="14:14" x14ac:dyDescent="0.25">
      <c r="N926" s="74"/>
    </row>
    <row r="927" spans="14:14" x14ac:dyDescent="0.25">
      <c r="N927" s="74"/>
    </row>
    <row r="928" spans="14:14" x14ac:dyDescent="0.25">
      <c r="N928" s="74"/>
    </row>
    <row r="929" spans="14:14" x14ac:dyDescent="0.25">
      <c r="N929" s="74"/>
    </row>
    <row r="930" spans="14:14" x14ac:dyDescent="0.25">
      <c r="N930" s="74"/>
    </row>
    <row r="931" spans="14:14" x14ac:dyDescent="0.25">
      <c r="N931" s="74"/>
    </row>
    <row r="932" spans="14:14" x14ac:dyDescent="0.25">
      <c r="N932" s="74"/>
    </row>
    <row r="933" spans="14:14" x14ac:dyDescent="0.25">
      <c r="N933" s="74"/>
    </row>
    <row r="934" spans="14:14" x14ac:dyDescent="0.25">
      <c r="N934" s="74"/>
    </row>
    <row r="935" spans="14:14" x14ac:dyDescent="0.25">
      <c r="N935" s="74"/>
    </row>
    <row r="936" spans="14:14" x14ac:dyDescent="0.25">
      <c r="N936" s="74"/>
    </row>
    <row r="937" spans="14:14" x14ac:dyDescent="0.25">
      <c r="N937" s="74"/>
    </row>
    <row r="938" spans="14:14" x14ac:dyDescent="0.25">
      <c r="N938" s="74"/>
    </row>
    <row r="939" spans="14:14" x14ac:dyDescent="0.25">
      <c r="N939" s="74"/>
    </row>
    <row r="940" spans="14:14" x14ac:dyDescent="0.25">
      <c r="N940" s="74"/>
    </row>
    <row r="941" spans="14:14" x14ac:dyDescent="0.25">
      <c r="N941" s="74"/>
    </row>
    <row r="942" spans="14:14" x14ac:dyDescent="0.25">
      <c r="N942" s="74"/>
    </row>
    <row r="943" spans="14:14" x14ac:dyDescent="0.25">
      <c r="N943" s="74"/>
    </row>
    <row r="944" spans="14:14" x14ac:dyDescent="0.25">
      <c r="N944" s="74"/>
    </row>
    <row r="945" spans="14:14" x14ac:dyDescent="0.25">
      <c r="N945" s="74"/>
    </row>
    <row r="946" spans="14:14" x14ac:dyDescent="0.25">
      <c r="N946" s="74"/>
    </row>
    <row r="947" spans="14:14" x14ac:dyDescent="0.25">
      <c r="N947" s="74"/>
    </row>
    <row r="948" spans="14:14" x14ac:dyDescent="0.25">
      <c r="N948" s="74"/>
    </row>
    <row r="949" spans="14:14" x14ac:dyDescent="0.25">
      <c r="N949" s="74"/>
    </row>
    <row r="950" spans="14:14" x14ac:dyDescent="0.25">
      <c r="N950" s="74"/>
    </row>
    <row r="951" spans="14:14" x14ac:dyDescent="0.25">
      <c r="N951" s="74"/>
    </row>
    <row r="952" spans="14:14" x14ac:dyDescent="0.25">
      <c r="N952" s="74"/>
    </row>
    <row r="953" spans="14:14" x14ac:dyDescent="0.25">
      <c r="N953" s="74"/>
    </row>
    <row r="954" spans="14:14" x14ac:dyDescent="0.25">
      <c r="N954" s="74"/>
    </row>
    <row r="955" spans="14:14" x14ac:dyDescent="0.25">
      <c r="N955" s="74"/>
    </row>
    <row r="956" spans="14:14" x14ac:dyDescent="0.25">
      <c r="N956" s="74"/>
    </row>
    <row r="957" spans="14:14" x14ac:dyDescent="0.25">
      <c r="N957" s="74"/>
    </row>
    <row r="958" spans="14:14" x14ac:dyDescent="0.25">
      <c r="N958" s="74"/>
    </row>
    <row r="959" spans="14:14" x14ac:dyDescent="0.25">
      <c r="N959" s="74"/>
    </row>
    <row r="960" spans="14:14" x14ac:dyDescent="0.25">
      <c r="N960" s="74"/>
    </row>
    <row r="961" spans="14:14" x14ac:dyDescent="0.25">
      <c r="N961" s="74"/>
    </row>
    <row r="962" spans="14:14" x14ac:dyDescent="0.25">
      <c r="N962" s="74"/>
    </row>
    <row r="963" spans="14:14" x14ac:dyDescent="0.25">
      <c r="N963" s="74"/>
    </row>
    <row r="964" spans="14:14" x14ac:dyDescent="0.25">
      <c r="N964" s="74"/>
    </row>
    <row r="965" spans="14:14" x14ac:dyDescent="0.25">
      <c r="N965" s="74"/>
    </row>
    <row r="966" spans="14:14" x14ac:dyDescent="0.25">
      <c r="N966" s="74"/>
    </row>
    <row r="967" spans="14:14" x14ac:dyDescent="0.25">
      <c r="N967" s="74"/>
    </row>
    <row r="968" spans="14:14" x14ac:dyDescent="0.25">
      <c r="N968" s="74"/>
    </row>
    <row r="969" spans="14:14" x14ac:dyDescent="0.25">
      <c r="N969" s="74"/>
    </row>
    <row r="970" spans="14:14" x14ac:dyDescent="0.25">
      <c r="N970" s="74"/>
    </row>
    <row r="971" spans="14:14" x14ac:dyDescent="0.25">
      <c r="N971" s="74"/>
    </row>
    <row r="972" spans="14:14" x14ac:dyDescent="0.25">
      <c r="N972" s="74"/>
    </row>
    <row r="973" spans="14:14" x14ac:dyDescent="0.25">
      <c r="N973" s="74"/>
    </row>
    <row r="974" spans="14:14" x14ac:dyDescent="0.25">
      <c r="N974" s="74"/>
    </row>
    <row r="975" spans="14:14" x14ac:dyDescent="0.25">
      <c r="N975" s="74"/>
    </row>
    <row r="976" spans="14:14" x14ac:dyDescent="0.25">
      <c r="N976" s="74"/>
    </row>
    <row r="977" spans="14:14" x14ac:dyDescent="0.25">
      <c r="N977" s="74"/>
    </row>
    <row r="978" spans="14:14" x14ac:dyDescent="0.25">
      <c r="N978" s="74"/>
    </row>
    <row r="979" spans="14:14" x14ac:dyDescent="0.25">
      <c r="N979" s="74"/>
    </row>
    <row r="980" spans="14:14" x14ac:dyDescent="0.25">
      <c r="N980" s="74"/>
    </row>
    <row r="981" spans="14:14" x14ac:dyDescent="0.25">
      <c r="N981" s="74"/>
    </row>
    <row r="982" spans="14:14" x14ac:dyDescent="0.25">
      <c r="N982" s="74"/>
    </row>
    <row r="983" spans="14:14" x14ac:dyDescent="0.25">
      <c r="N983" s="74"/>
    </row>
    <row r="984" spans="14:14" x14ac:dyDescent="0.25">
      <c r="N984" s="74"/>
    </row>
    <row r="985" spans="14:14" x14ac:dyDescent="0.25">
      <c r="N985" s="74"/>
    </row>
    <row r="986" spans="14:14" x14ac:dyDescent="0.25">
      <c r="N986" s="74"/>
    </row>
    <row r="987" spans="14:14" x14ac:dyDescent="0.25">
      <c r="N987" s="74"/>
    </row>
    <row r="988" spans="14:14" x14ac:dyDescent="0.25">
      <c r="N988" s="74"/>
    </row>
    <row r="989" spans="14:14" x14ac:dyDescent="0.25">
      <c r="N989" s="74"/>
    </row>
    <row r="990" spans="14:14" x14ac:dyDescent="0.25">
      <c r="N990" s="74"/>
    </row>
    <row r="991" spans="14:14" x14ac:dyDescent="0.25">
      <c r="N991" s="74"/>
    </row>
    <row r="992" spans="14:14" x14ac:dyDescent="0.25">
      <c r="N992" s="74"/>
    </row>
    <row r="993" spans="14:14" x14ac:dyDescent="0.25">
      <c r="N993" s="74"/>
    </row>
    <row r="994" spans="14:14" x14ac:dyDescent="0.25">
      <c r="N994" s="74"/>
    </row>
    <row r="995" spans="14:14" x14ac:dyDescent="0.25">
      <c r="N995" s="74"/>
    </row>
    <row r="996" spans="14:14" x14ac:dyDescent="0.25">
      <c r="N996" s="74"/>
    </row>
    <row r="997" spans="14:14" x14ac:dyDescent="0.25">
      <c r="N997" s="74"/>
    </row>
    <row r="998" spans="14:14" x14ac:dyDescent="0.25">
      <c r="N998" s="74"/>
    </row>
    <row r="999" spans="14:14" x14ac:dyDescent="0.25">
      <c r="N999" s="74"/>
    </row>
    <row r="1000" spans="14:14" x14ac:dyDescent="0.25">
      <c r="N1000" s="74"/>
    </row>
    <row r="1001" spans="14:14" x14ac:dyDescent="0.25">
      <c r="N1001" s="74"/>
    </row>
    <row r="1002" spans="14:14" x14ac:dyDescent="0.25">
      <c r="N1002" s="74"/>
    </row>
    <row r="1003" spans="14:14" x14ac:dyDescent="0.25">
      <c r="N1003" s="74"/>
    </row>
    <row r="1004" spans="14:14" x14ac:dyDescent="0.25">
      <c r="N1004" s="74"/>
    </row>
    <row r="1005" spans="14:14" x14ac:dyDescent="0.25">
      <c r="N1005" s="74"/>
    </row>
    <row r="1006" spans="14:14" x14ac:dyDescent="0.25">
      <c r="N1006" s="74"/>
    </row>
    <row r="1007" spans="14:14" x14ac:dyDescent="0.25">
      <c r="N1007" s="74"/>
    </row>
    <row r="1008" spans="14:14" x14ac:dyDescent="0.25">
      <c r="N1008" s="74"/>
    </row>
    <row r="1009" spans="14:14" x14ac:dyDescent="0.25">
      <c r="N1009" s="74"/>
    </row>
    <row r="1010" spans="14:14" x14ac:dyDescent="0.25">
      <c r="N1010" s="74"/>
    </row>
    <row r="1011" spans="14:14" x14ac:dyDescent="0.25">
      <c r="N1011" s="74"/>
    </row>
    <row r="1012" spans="14:14" x14ac:dyDescent="0.25">
      <c r="N1012" s="74"/>
    </row>
    <row r="1013" spans="14:14" x14ac:dyDescent="0.25">
      <c r="N1013" s="74"/>
    </row>
    <row r="1014" spans="14:14" x14ac:dyDescent="0.25">
      <c r="N1014" s="74"/>
    </row>
    <row r="1015" spans="14:14" x14ac:dyDescent="0.25">
      <c r="N1015" s="74"/>
    </row>
    <row r="1016" spans="14:14" x14ac:dyDescent="0.25">
      <c r="N1016" s="74"/>
    </row>
    <row r="1017" spans="14:14" x14ac:dyDescent="0.25">
      <c r="N1017" s="74"/>
    </row>
    <row r="1018" spans="14:14" x14ac:dyDescent="0.25">
      <c r="N1018" s="74"/>
    </row>
    <row r="1019" spans="14:14" x14ac:dyDescent="0.25">
      <c r="N1019" s="74"/>
    </row>
    <row r="1020" spans="14:14" x14ac:dyDescent="0.25">
      <c r="N1020" s="74"/>
    </row>
    <row r="1021" spans="14:14" x14ac:dyDescent="0.25">
      <c r="N1021" s="74"/>
    </row>
    <row r="1022" spans="14:14" x14ac:dyDescent="0.25">
      <c r="N1022" s="74"/>
    </row>
    <row r="1023" spans="14:14" x14ac:dyDescent="0.25">
      <c r="N1023" s="74"/>
    </row>
    <row r="1024" spans="14:14" x14ac:dyDescent="0.25">
      <c r="N1024" s="74"/>
    </row>
    <row r="1025" spans="14:14" x14ac:dyDescent="0.25">
      <c r="N1025" s="74"/>
    </row>
    <row r="1026" spans="14:14" x14ac:dyDescent="0.25">
      <c r="N1026" s="74"/>
    </row>
    <row r="1027" spans="14:14" x14ac:dyDescent="0.25">
      <c r="N1027" s="74"/>
    </row>
    <row r="1028" spans="14:14" x14ac:dyDescent="0.25">
      <c r="N1028" s="74"/>
    </row>
    <row r="1029" spans="14:14" x14ac:dyDescent="0.25">
      <c r="N1029" s="74"/>
    </row>
    <row r="1030" spans="14:14" x14ac:dyDescent="0.25">
      <c r="N1030" s="74"/>
    </row>
    <row r="1031" spans="14:14" x14ac:dyDescent="0.25">
      <c r="N1031" s="74"/>
    </row>
    <row r="1032" spans="14:14" x14ac:dyDescent="0.25">
      <c r="N1032" s="74"/>
    </row>
    <row r="1033" spans="14:14" x14ac:dyDescent="0.25">
      <c r="N1033" s="74"/>
    </row>
    <row r="1034" spans="14:14" x14ac:dyDescent="0.25">
      <c r="N1034" s="74"/>
    </row>
    <row r="1035" spans="14:14" x14ac:dyDescent="0.25">
      <c r="N1035" s="74"/>
    </row>
    <row r="1036" spans="14:14" x14ac:dyDescent="0.25">
      <c r="N1036" s="74"/>
    </row>
    <row r="1037" spans="14:14" x14ac:dyDescent="0.25">
      <c r="N1037" s="74"/>
    </row>
    <row r="1038" spans="14:14" x14ac:dyDescent="0.25">
      <c r="N1038" s="74"/>
    </row>
    <row r="1039" spans="14:14" x14ac:dyDescent="0.25">
      <c r="N1039" s="74"/>
    </row>
    <row r="1040" spans="14:14" x14ac:dyDescent="0.25">
      <c r="N1040" s="74"/>
    </row>
    <row r="1041" spans="14:14" x14ac:dyDescent="0.25">
      <c r="N1041" s="74"/>
    </row>
    <row r="1042" spans="14:14" x14ac:dyDescent="0.25">
      <c r="N1042" s="74"/>
    </row>
    <row r="1043" spans="14:14" x14ac:dyDescent="0.25">
      <c r="N1043" s="74"/>
    </row>
    <row r="1044" spans="14:14" x14ac:dyDescent="0.25">
      <c r="N1044" s="74"/>
    </row>
    <row r="1045" spans="14:14" x14ac:dyDescent="0.25">
      <c r="N1045" s="74"/>
    </row>
    <row r="1046" spans="14:14" x14ac:dyDescent="0.25">
      <c r="N1046" s="74"/>
    </row>
    <row r="1047" spans="14:14" x14ac:dyDescent="0.25">
      <c r="N1047" s="74"/>
    </row>
    <row r="1048" spans="14:14" x14ac:dyDescent="0.25">
      <c r="N1048" s="74"/>
    </row>
    <row r="1049" spans="14:14" x14ac:dyDescent="0.25">
      <c r="N1049" s="74"/>
    </row>
    <row r="1050" spans="14:14" x14ac:dyDescent="0.25">
      <c r="N1050" s="74"/>
    </row>
    <row r="1051" spans="14:14" x14ac:dyDescent="0.25">
      <c r="N1051" s="74"/>
    </row>
    <row r="1052" spans="14:14" x14ac:dyDescent="0.25">
      <c r="N1052" s="74"/>
    </row>
    <row r="1053" spans="14:14" x14ac:dyDescent="0.25">
      <c r="N1053" s="74"/>
    </row>
    <row r="1054" spans="14:14" x14ac:dyDescent="0.25">
      <c r="N1054" s="74"/>
    </row>
    <row r="1055" spans="14:14" x14ac:dyDescent="0.25">
      <c r="N1055" s="74"/>
    </row>
    <row r="1056" spans="14:14" x14ac:dyDescent="0.25">
      <c r="N1056" s="74"/>
    </row>
    <row r="1057" spans="14:14" x14ac:dyDescent="0.25">
      <c r="N1057" s="74"/>
    </row>
    <row r="1058" spans="14:14" x14ac:dyDescent="0.25">
      <c r="N1058" s="74"/>
    </row>
    <row r="1059" spans="14:14" x14ac:dyDescent="0.25">
      <c r="N1059" s="74"/>
    </row>
    <row r="1060" spans="14:14" x14ac:dyDescent="0.25">
      <c r="N1060" s="74"/>
    </row>
    <row r="1061" spans="14:14" x14ac:dyDescent="0.25">
      <c r="N1061" s="74"/>
    </row>
    <row r="1062" spans="14:14" x14ac:dyDescent="0.25">
      <c r="N1062" s="74"/>
    </row>
    <row r="1063" spans="14:14" x14ac:dyDescent="0.25">
      <c r="N1063" s="74"/>
    </row>
    <row r="1064" spans="14:14" x14ac:dyDescent="0.25">
      <c r="N1064" s="74"/>
    </row>
    <row r="1065" spans="14:14" x14ac:dyDescent="0.25">
      <c r="N1065" s="74"/>
    </row>
    <row r="1066" spans="14:14" x14ac:dyDescent="0.25">
      <c r="N1066" s="74"/>
    </row>
    <row r="1067" spans="14:14" x14ac:dyDescent="0.25">
      <c r="N1067" s="74"/>
    </row>
    <row r="1068" spans="14:14" x14ac:dyDescent="0.25">
      <c r="N1068" s="74"/>
    </row>
    <row r="1069" spans="14:14" x14ac:dyDescent="0.25">
      <c r="N1069" s="74"/>
    </row>
    <row r="1070" spans="14:14" x14ac:dyDescent="0.25">
      <c r="N1070" s="74"/>
    </row>
    <row r="1071" spans="14:14" x14ac:dyDescent="0.25">
      <c r="N1071" s="74"/>
    </row>
    <row r="1072" spans="14:14" x14ac:dyDescent="0.25">
      <c r="N1072" s="74"/>
    </row>
    <row r="1073" spans="14:14" x14ac:dyDescent="0.25">
      <c r="N1073" s="74"/>
    </row>
    <row r="1074" spans="14:14" x14ac:dyDescent="0.25">
      <c r="N1074" s="74"/>
    </row>
    <row r="1075" spans="14:14" x14ac:dyDescent="0.25">
      <c r="N1075" s="74"/>
    </row>
    <row r="1076" spans="14:14" x14ac:dyDescent="0.25">
      <c r="N1076" s="74"/>
    </row>
    <row r="1077" spans="14:14" x14ac:dyDescent="0.25">
      <c r="N1077" s="74"/>
    </row>
    <row r="1078" spans="14:14" x14ac:dyDescent="0.25">
      <c r="N1078" s="74"/>
    </row>
    <row r="1079" spans="14:14" x14ac:dyDescent="0.25">
      <c r="N1079" s="74"/>
    </row>
    <row r="1080" spans="14:14" x14ac:dyDescent="0.25">
      <c r="N1080" s="74"/>
    </row>
    <row r="1081" spans="14:14" x14ac:dyDescent="0.25">
      <c r="N1081" s="74"/>
    </row>
    <row r="1082" spans="14:14" x14ac:dyDescent="0.25">
      <c r="N1082" s="74"/>
    </row>
    <row r="1083" spans="14:14" x14ac:dyDescent="0.25">
      <c r="N1083" s="74"/>
    </row>
    <row r="1084" spans="14:14" x14ac:dyDescent="0.25">
      <c r="N1084" s="74"/>
    </row>
    <row r="1085" spans="14:14" x14ac:dyDescent="0.25">
      <c r="N1085" s="74"/>
    </row>
    <row r="1086" spans="14:14" x14ac:dyDescent="0.25">
      <c r="N1086" s="74"/>
    </row>
    <row r="1087" spans="14:14" x14ac:dyDescent="0.25">
      <c r="N1087" s="74"/>
    </row>
    <row r="1088" spans="14:14" x14ac:dyDescent="0.25">
      <c r="N1088" s="74"/>
    </row>
    <row r="1089" spans="14:14" x14ac:dyDescent="0.25">
      <c r="N1089" s="74"/>
    </row>
    <row r="1090" spans="14:14" x14ac:dyDescent="0.25">
      <c r="N1090" s="74"/>
    </row>
    <row r="1091" spans="14:14" x14ac:dyDescent="0.25">
      <c r="N1091" s="74"/>
    </row>
    <row r="1092" spans="14:14" x14ac:dyDescent="0.25">
      <c r="N1092" s="74"/>
    </row>
    <row r="1093" spans="14:14" x14ac:dyDescent="0.25">
      <c r="N1093" s="74"/>
    </row>
    <row r="1094" spans="14:14" x14ac:dyDescent="0.25">
      <c r="N1094" s="74"/>
    </row>
    <row r="1095" spans="14:14" x14ac:dyDescent="0.25">
      <c r="N1095" s="74"/>
    </row>
    <row r="1096" spans="14:14" x14ac:dyDescent="0.25">
      <c r="N1096" s="74"/>
    </row>
    <row r="1097" spans="14:14" x14ac:dyDescent="0.25">
      <c r="N1097" s="74"/>
    </row>
    <row r="1098" spans="14:14" x14ac:dyDescent="0.25">
      <c r="N1098" s="74"/>
    </row>
    <row r="1099" spans="14:14" x14ac:dyDescent="0.25">
      <c r="N1099" s="74"/>
    </row>
    <row r="1100" spans="14:14" x14ac:dyDescent="0.25">
      <c r="N1100" s="74"/>
    </row>
    <row r="1101" spans="14:14" x14ac:dyDescent="0.25">
      <c r="N1101" s="74"/>
    </row>
    <row r="1102" spans="14:14" x14ac:dyDescent="0.25">
      <c r="N1102" s="74"/>
    </row>
    <row r="1103" spans="14:14" x14ac:dyDescent="0.25">
      <c r="N1103" s="74"/>
    </row>
    <row r="1104" spans="14:14" x14ac:dyDescent="0.25">
      <c r="N1104" s="74"/>
    </row>
    <row r="1105" spans="14:14" x14ac:dyDescent="0.25">
      <c r="N1105" s="74"/>
    </row>
    <row r="1106" spans="14:14" x14ac:dyDescent="0.25">
      <c r="N1106" s="74"/>
    </row>
    <row r="1107" spans="14:14" x14ac:dyDescent="0.25">
      <c r="N1107" s="74"/>
    </row>
    <row r="1108" spans="14:14" x14ac:dyDescent="0.25">
      <c r="N1108" s="74"/>
    </row>
    <row r="1109" spans="14:14" x14ac:dyDescent="0.25">
      <c r="N1109" s="74"/>
    </row>
    <row r="1110" spans="14:14" x14ac:dyDescent="0.25">
      <c r="N1110" s="74"/>
    </row>
    <row r="1111" spans="14:14" x14ac:dyDescent="0.25">
      <c r="N1111" s="74"/>
    </row>
    <row r="1112" spans="14:14" x14ac:dyDescent="0.25">
      <c r="N1112" s="74"/>
    </row>
    <row r="1113" spans="14:14" x14ac:dyDescent="0.25">
      <c r="N1113" s="74"/>
    </row>
    <row r="1114" spans="14:14" x14ac:dyDescent="0.25">
      <c r="N1114" s="74"/>
    </row>
    <row r="1115" spans="14:14" x14ac:dyDescent="0.25">
      <c r="N1115" s="74"/>
    </row>
    <row r="1116" spans="14:14" x14ac:dyDescent="0.25">
      <c r="N1116" s="74"/>
    </row>
    <row r="1117" spans="14:14" x14ac:dyDescent="0.25">
      <c r="N1117" s="74"/>
    </row>
    <row r="1118" spans="14:14" x14ac:dyDescent="0.25">
      <c r="N1118" s="74"/>
    </row>
    <row r="1119" spans="14:14" x14ac:dyDescent="0.25">
      <c r="N1119" s="74"/>
    </row>
    <row r="1120" spans="14:14" x14ac:dyDescent="0.25">
      <c r="N1120" s="74"/>
    </row>
    <row r="1121" spans="14:14" x14ac:dyDescent="0.25">
      <c r="N1121" s="74"/>
    </row>
    <row r="1122" spans="14:14" x14ac:dyDescent="0.25">
      <c r="N1122" s="74"/>
    </row>
    <row r="1123" spans="14:14" x14ac:dyDescent="0.25">
      <c r="N1123" s="74"/>
    </row>
    <row r="1124" spans="14:14" x14ac:dyDescent="0.25">
      <c r="N1124" s="74"/>
    </row>
    <row r="1125" spans="14:14" x14ac:dyDescent="0.25">
      <c r="N1125" s="74"/>
    </row>
    <row r="1126" spans="14:14" x14ac:dyDescent="0.25">
      <c r="N1126" s="74"/>
    </row>
    <row r="1127" spans="14:14" x14ac:dyDescent="0.25">
      <c r="N1127" s="74"/>
    </row>
    <row r="1128" spans="14:14" x14ac:dyDescent="0.25">
      <c r="N1128" s="74"/>
    </row>
    <row r="1129" spans="14:14" x14ac:dyDescent="0.25">
      <c r="N1129" s="74"/>
    </row>
    <row r="1130" spans="14:14" x14ac:dyDescent="0.25">
      <c r="N1130" s="74"/>
    </row>
    <row r="1131" spans="14:14" x14ac:dyDescent="0.25">
      <c r="N1131" s="74"/>
    </row>
    <row r="1132" spans="14:14" x14ac:dyDescent="0.25">
      <c r="N1132" s="74"/>
    </row>
    <row r="1133" spans="14:14" x14ac:dyDescent="0.25">
      <c r="N1133" s="74"/>
    </row>
    <row r="1134" spans="14:14" x14ac:dyDescent="0.25">
      <c r="N1134" s="74"/>
    </row>
    <row r="1135" spans="14:14" x14ac:dyDescent="0.25">
      <c r="N1135" s="74"/>
    </row>
    <row r="1136" spans="14:14" x14ac:dyDescent="0.25">
      <c r="N1136" s="74"/>
    </row>
    <row r="1137" spans="14:14" x14ac:dyDescent="0.25">
      <c r="N1137" s="74"/>
    </row>
    <row r="1138" spans="14:14" x14ac:dyDescent="0.25">
      <c r="N1138" s="74"/>
    </row>
    <row r="1139" spans="14:14" x14ac:dyDescent="0.25">
      <c r="N1139" s="74"/>
    </row>
    <row r="1140" spans="14:14" x14ac:dyDescent="0.25">
      <c r="N1140" s="74"/>
    </row>
    <row r="1141" spans="14:14" x14ac:dyDescent="0.25">
      <c r="N1141" s="74"/>
    </row>
    <row r="1142" spans="14:14" x14ac:dyDescent="0.25">
      <c r="N1142" s="74"/>
    </row>
    <row r="1143" spans="14:14" x14ac:dyDescent="0.25">
      <c r="N1143" s="74"/>
    </row>
    <row r="1144" spans="14:14" x14ac:dyDescent="0.25">
      <c r="N1144" s="74"/>
    </row>
    <row r="1145" spans="14:14" x14ac:dyDescent="0.25">
      <c r="N1145" s="74"/>
    </row>
    <row r="1146" spans="14:14" x14ac:dyDescent="0.25">
      <c r="N1146" s="74"/>
    </row>
    <row r="1147" spans="14:14" x14ac:dyDescent="0.25">
      <c r="N1147" s="74"/>
    </row>
    <row r="1148" spans="14:14" x14ac:dyDescent="0.25">
      <c r="N1148" s="74"/>
    </row>
    <row r="1149" spans="14:14" x14ac:dyDescent="0.25">
      <c r="N1149" s="74"/>
    </row>
    <row r="1150" spans="14:14" x14ac:dyDescent="0.25">
      <c r="N1150" s="74"/>
    </row>
    <row r="1151" spans="14:14" x14ac:dyDescent="0.25">
      <c r="N1151" s="74"/>
    </row>
    <row r="1152" spans="14:14" x14ac:dyDescent="0.25">
      <c r="N1152" s="74"/>
    </row>
    <row r="1153" spans="14:14" x14ac:dyDescent="0.25">
      <c r="N1153" s="74"/>
    </row>
    <row r="1154" spans="14:14" x14ac:dyDescent="0.25">
      <c r="N1154" s="74"/>
    </row>
    <row r="1155" spans="14:14" x14ac:dyDescent="0.25">
      <c r="N1155" s="74"/>
    </row>
    <row r="1156" spans="14:14" x14ac:dyDescent="0.25">
      <c r="N1156" s="74"/>
    </row>
    <row r="1157" spans="14:14" x14ac:dyDescent="0.25">
      <c r="N1157" s="74"/>
    </row>
    <row r="1158" spans="14:14" x14ac:dyDescent="0.25">
      <c r="N1158" s="74"/>
    </row>
    <row r="1159" spans="14:14" x14ac:dyDescent="0.25">
      <c r="N1159" s="74"/>
    </row>
    <row r="1160" spans="14:14" x14ac:dyDescent="0.25">
      <c r="N1160" s="74"/>
    </row>
    <row r="1161" spans="14:14" x14ac:dyDescent="0.25">
      <c r="N1161" s="74"/>
    </row>
    <row r="1162" spans="14:14" x14ac:dyDescent="0.25">
      <c r="N1162" s="74"/>
    </row>
    <row r="1163" spans="14:14" x14ac:dyDescent="0.25">
      <c r="N1163" s="74"/>
    </row>
    <row r="1164" spans="14:14" x14ac:dyDescent="0.25">
      <c r="N1164" s="74"/>
    </row>
    <row r="1165" spans="14:14" x14ac:dyDescent="0.25">
      <c r="N1165" s="74"/>
    </row>
    <row r="1166" spans="14:14" x14ac:dyDescent="0.25">
      <c r="N1166" s="74"/>
    </row>
    <row r="1167" spans="14:14" x14ac:dyDescent="0.25">
      <c r="N1167" s="74"/>
    </row>
    <row r="1168" spans="14:14" x14ac:dyDescent="0.25">
      <c r="N1168" s="74"/>
    </row>
    <row r="1169" spans="14:14" x14ac:dyDescent="0.25">
      <c r="N1169" s="74"/>
    </row>
    <row r="1170" spans="14:14" x14ac:dyDescent="0.25">
      <c r="N1170" s="74"/>
    </row>
    <row r="1171" spans="14:14" x14ac:dyDescent="0.25">
      <c r="N1171" s="74"/>
    </row>
    <row r="1172" spans="14:14" x14ac:dyDescent="0.25">
      <c r="N1172" s="74"/>
    </row>
    <row r="1173" spans="14:14" x14ac:dyDescent="0.25">
      <c r="N1173" s="74"/>
    </row>
    <row r="1174" spans="14:14" x14ac:dyDescent="0.25">
      <c r="N1174" s="74"/>
    </row>
    <row r="1175" spans="14:14" x14ac:dyDescent="0.25">
      <c r="N1175" s="74"/>
    </row>
    <row r="1176" spans="14:14" x14ac:dyDescent="0.25">
      <c r="N1176" s="74"/>
    </row>
    <row r="1177" spans="14:14" x14ac:dyDescent="0.25">
      <c r="N1177" s="74"/>
    </row>
    <row r="1178" spans="14:14" x14ac:dyDescent="0.25">
      <c r="N1178" s="74"/>
    </row>
    <row r="1179" spans="14:14" x14ac:dyDescent="0.25">
      <c r="N1179" s="74"/>
    </row>
    <row r="1180" spans="14:14" x14ac:dyDescent="0.25">
      <c r="N1180" s="74"/>
    </row>
    <row r="1181" spans="14:14" x14ac:dyDescent="0.25">
      <c r="N1181" s="74"/>
    </row>
    <row r="1182" spans="14:14" x14ac:dyDescent="0.25">
      <c r="N1182" s="74"/>
    </row>
    <row r="1183" spans="14:14" x14ac:dyDescent="0.25">
      <c r="N1183" s="74"/>
    </row>
    <row r="1184" spans="14:14" x14ac:dyDescent="0.25">
      <c r="N1184" s="74"/>
    </row>
    <row r="1185" spans="14:14" x14ac:dyDescent="0.25">
      <c r="N1185" s="74"/>
    </row>
    <row r="1186" spans="14:14" x14ac:dyDescent="0.25">
      <c r="N1186" s="74"/>
    </row>
    <row r="1187" spans="14:14" x14ac:dyDescent="0.25">
      <c r="N1187" s="74"/>
    </row>
    <row r="1188" spans="14:14" x14ac:dyDescent="0.25">
      <c r="N1188" s="74"/>
    </row>
    <row r="1189" spans="14:14" x14ac:dyDescent="0.25">
      <c r="N1189" s="74"/>
    </row>
    <row r="1190" spans="14:14" x14ac:dyDescent="0.25">
      <c r="N1190" s="74"/>
    </row>
    <row r="1191" spans="14:14" x14ac:dyDescent="0.25">
      <c r="N1191" s="74"/>
    </row>
    <row r="1192" spans="14:14" x14ac:dyDescent="0.25">
      <c r="N1192" s="74"/>
    </row>
    <row r="1193" spans="14:14" x14ac:dyDescent="0.25">
      <c r="N1193" s="74"/>
    </row>
    <row r="1194" spans="14:14" x14ac:dyDescent="0.25">
      <c r="N1194" s="74"/>
    </row>
    <row r="1195" spans="14:14" x14ac:dyDescent="0.25">
      <c r="N1195" s="74"/>
    </row>
    <row r="1196" spans="14:14" x14ac:dyDescent="0.25">
      <c r="N1196" s="74"/>
    </row>
    <row r="1197" spans="14:14" x14ac:dyDescent="0.25">
      <c r="N1197" s="74"/>
    </row>
    <row r="1198" spans="14:14" x14ac:dyDescent="0.25">
      <c r="N1198" s="74"/>
    </row>
    <row r="1199" spans="14:14" x14ac:dyDescent="0.25">
      <c r="N1199" s="74"/>
    </row>
    <row r="1200" spans="14:14" x14ac:dyDescent="0.25">
      <c r="N1200" s="74"/>
    </row>
    <row r="1201" spans="14:14" x14ac:dyDescent="0.25">
      <c r="N1201" s="74"/>
    </row>
    <row r="1202" spans="14:14" x14ac:dyDescent="0.25">
      <c r="N1202" s="74"/>
    </row>
    <row r="1203" spans="14:14" x14ac:dyDescent="0.25">
      <c r="N1203" s="74"/>
    </row>
    <row r="1204" spans="14:14" x14ac:dyDescent="0.25">
      <c r="N1204" s="74"/>
    </row>
    <row r="1205" spans="14:14" x14ac:dyDescent="0.25">
      <c r="N1205" s="74"/>
    </row>
    <row r="1206" spans="14:14" x14ac:dyDescent="0.25">
      <c r="N1206" s="74"/>
    </row>
    <row r="1207" spans="14:14" x14ac:dyDescent="0.25">
      <c r="N1207" s="74"/>
    </row>
    <row r="1208" spans="14:14" x14ac:dyDescent="0.25">
      <c r="N1208" s="74"/>
    </row>
    <row r="1209" spans="14:14" x14ac:dyDescent="0.25">
      <c r="N1209" s="74"/>
    </row>
    <row r="1210" spans="14:14" x14ac:dyDescent="0.25">
      <c r="N1210" s="74"/>
    </row>
    <row r="1211" spans="14:14" x14ac:dyDescent="0.25">
      <c r="N1211" s="74"/>
    </row>
    <row r="1212" spans="14:14" x14ac:dyDescent="0.25">
      <c r="N1212" s="74"/>
    </row>
    <row r="1213" spans="14:14" x14ac:dyDescent="0.25">
      <c r="N1213" s="74"/>
    </row>
    <row r="1214" spans="14:14" x14ac:dyDescent="0.25">
      <c r="N1214" s="74"/>
    </row>
    <row r="1215" spans="14:14" x14ac:dyDescent="0.25">
      <c r="N1215" s="74"/>
    </row>
    <row r="1216" spans="14:14" x14ac:dyDescent="0.25">
      <c r="N1216" s="74"/>
    </row>
    <row r="1217" spans="14:14" x14ac:dyDescent="0.25">
      <c r="N1217" s="74"/>
    </row>
    <row r="1218" spans="14:14" x14ac:dyDescent="0.25">
      <c r="N1218" s="74"/>
    </row>
    <row r="1219" spans="14:14" x14ac:dyDescent="0.25">
      <c r="N1219" s="74"/>
    </row>
    <row r="1220" spans="14:14" x14ac:dyDescent="0.25">
      <c r="N1220" s="74"/>
    </row>
    <row r="1221" spans="14:14" x14ac:dyDescent="0.25">
      <c r="N1221" s="74"/>
    </row>
    <row r="1222" spans="14:14" x14ac:dyDescent="0.25">
      <c r="N1222" s="74"/>
    </row>
    <row r="1223" spans="14:14" x14ac:dyDescent="0.25">
      <c r="N1223" s="74"/>
    </row>
    <row r="1224" spans="14:14" x14ac:dyDescent="0.25">
      <c r="N1224" s="74"/>
    </row>
    <row r="1225" spans="14:14" x14ac:dyDescent="0.25">
      <c r="N1225" s="74"/>
    </row>
    <row r="1226" spans="14:14" x14ac:dyDescent="0.25">
      <c r="N1226" s="74"/>
    </row>
    <row r="1227" spans="14:14" x14ac:dyDescent="0.25">
      <c r="N1227" s="74"/>
    </row>
    <row r="1228" spans="14:14" x14ac:dyDescent="0.25">
      <c r="N1228" s="74"/>
    </row>
    <row r="1229" spans="14:14" x14ac:dyDescent="0.25">
      <c r="N1229" s="74"/>
    </row>
    <row r="1230" spans="14:14" x14ac:dyDescent="0.25">
      <c r="N1230" s="74"/>
    </row>
    <row r="1231" spans="14:14" x14ac:dyDescent="0.25">
      <c r="N1231" s="74"/>
    </row>
    <row r="1232" spans="14:14" x14ac:dyDescent="0.25">
      <c r="N1232" s="74"/>
    </row>
    <row r="1233" spans="14:14" x14ac:dyDescent="0.25">
      <c r="N1233" s="74"/>
    </row>
    <row r="1234" spans="14:14" x14ac:dyDescent="0.25">
      <c r="N1234" s="74"/>
    </row>
    <row r="1235" spans="14:14" x14ac:dyDescent="0.25">
      <c r="N1235" s="74"/>
    </row>
    <row r="1236" spans="14:14" x14ac:dyDescent="0.25">
      <c r="N1236" s="74"/>
    </row>
    <row r="1237" spans="14:14" x14ac:dyDescent="0.25">
      <c r="N1237" s="74"/>
    </row>
    <row r="1238" spans="14:14" x14ac:dyDescent="0.25">
      <c r="N1238" s="74"/>
    </row>
    <row r="1239" spans="14:14" x14ac:dyDescent="0.25">
      <c r="N1239" s="74"/>
    </row>
    <row r="1240" spans="14:14" x14ac:dyDescent="0.25">
      <c r="N1240" s="74"/>
    </row>
    <row r="1241" spans="14:14" x14ac:dyDescent="0.25">
      <c r="N1241" s="74"/>
    </row>
    <row r="1242" spans="14:14" x14ac:dyDescent="0.25">
      <c r="N1242" s="74"/>
    </row>
    <row r="1243" spans="14:14" x14ac:dyDescent="0.25">
      <c r="N1243" s="74"/>
    </row>
    <row r="1244" spans="14:14" x14ac:dyDescent="0.25">
      <c r="N1244" s="74"/>
    </row>
    <row r="1245" spans="14:14" x14ac:dyDescent="0.25">
      <c r="N1245" s="74"/>
    </row>
    <row r="1246" spans="14:14" x14ac:dyDescent="0.25">
      <c r="N1246" s="74"/>
    </row>
    <row r="1247" spans="14:14" x14ac:dyDescent="0.25">
      <c r="N1247" s="74"/>
    </row>
    <row r="1248" spans="14:14" x14ac:dyDescent="0.25">
      <c r="N1248" s="74"/>
    </row>
    <row r="1249" spans="14:14" x14ac:dyDescent="0.25">
      <c r="N1249" s="74"/>
    </row>
    <row r="1250" spans="14:14" x14ac:dyDescent="0.25">
      <c r="N1250" s="74"/>
    </row>
    <row r="1251" spans="14:14" x14ac:dyDescent="0.25">
      <c r="N1251" s="74"/>
    </row>
    <row r="1252" spans="14:14" x14ac:dyDescent="0.25">
      <c r="N1252" s="74"/>
    </row>
    <row r="1253" spans="14:14" x14ac:dyDescent="0.25">
      <c r="N1253" s="74"/>
    </row>
    <row r="1254" spans="14:14" x14ac:dyDescent="0.25">
      <c r="N1254" s="74"/>
    </row>
    <row r="1255" spans="14:14" x14ac:dyDescent="0.25">
      <c r="N1255" s="74"/>
    </row>
    <row r="1256" spans="14:14" x14ac:dyDescent="0.25">
      <c r="N1256" s="74"/>
    </row>
    <row r="1257" spans="14:14" x14ac:dyDescent="0.25">
      <c r="N1257" s="74"/>
    </row>
    <row r="1258" spans="14:14" x14ac:dyDescent="0.25">
      <c r="N1258" s="74"/>
    </row>
    <row r="1259" spans="14:14" x14ac:dyDescent="0.25">
      <c r="N1259" s="74"/>
    </row>
    <row r="1260" spans="14:14" x14ac:dyDescent="0.25">
      <c r="N1260" s="74"/>
    </row>
    <row r="1261" spans="14:14" x14ac:dyDescent="0.25">
      <c r="N1261" s="74"/>
    </row>
    <row r="1262" spans="14:14" x14ac:dyDescent="0.25">
      <c r="N1262" s="74"/>
    </row>
    <row r="1263" spans="14:14" x14ac:dyDescent="0.25">
      <c r="N1263" s="74"/>
    </row>
    <row r="1264" spans="14:14" x14ac:dyDescent="0.25">
      <c r="N1264" s="74"/>
    </row>
    <row r="1265" spans="14:14" x14ac:dyDescent="0.25">
      <c r="N1265" s="74"/>
    </row>
    <row r="1266" spans="14:14" x14ac:dyDescent="0.25">
      <c r="N1266" s="74"/>
    </row>
    <row r="1267" spans="14:14" x14ac:dyDescent="0.25">
      <c r="N1267" s="74"/>
    </row>
    <row r="1268" spans="14:14" x14ac:dyDescent="0.25">
      <c r="N1268" s="74"/>
    </row>
    <row r="1269" spans="14:14" x14ac:dyDescent="0.25">
      <c r="N1269" s="74"/>
    </row>
    <row r="1270" spans="14:14" x14ac:dyDescent="0.25">
      <c r="N1270" s="74"/>
    </row>
    <row r="1271" spans="14:14" x14ac:dyDescent="0.25">
      <c r="N1271" s="74"/>
    </row>
    <row r="1272" spans="14:14" x14ac:dyDescent="0.25">
      <c r="N1272" s="74"/>
    </row>
    <row r="1273" spans="14:14" x14ac:dyDescent="0.25">
      <c r="N1273" s="74"/>
    </row>
    <row r="1274" spans="14:14" x14ac:dyDescent="0.25">
      <c r="N1274" s="74"/>
    </row>
    <row r="1275" spans="14:14" x14ac:dyDescent="0.25">
      <c r="N1275" s="74"/>
    </row>
    <row r="1276" spans="14:14" x14ac:dyDescent="0.25">
      <c r="N1276" s="74"/>
    </row>
    <row r="1277" spans="14:14" x14ac:dyDescent="0.25">
      <c r="N1277" s="74"/>
    </row>
    <row r="1278" spans="14:14" x14ac:dyDescent="0.25">
      <c r="N1278" s="74"/>
    </row>
    <row r="1279" spans="14:14" x14ac:dyDescent="0.25">
      <c r="N1279" s="74"/>
    </row>
    <row r="1280" spans="14:14" x14ac:dyDescent="0.25">
      <c r="N1280" s="74"/>
    </row>
    <row r="1281" spans="14:14" x14ac:dyDescent="0.25">
      <c r="N1281" s="74"/>
    </row>
    <row r="1282" spans="14:14" x14ac:dyDescent="0.25">
      <c r="N1282" s="74"/>
    </row>
    <row r="1283" spans="14:14" x14ac:dyDescent="0.25">
      <c r="N1283" s="74"/>
    </row>
    <row r="1284" spans="14:14" x14ac:dyDescent="0.25">
      <c r="N1284" s="74"/>
    </row>
    <row r="1285" spans="14:14" x14ac:dyDescent="0.25">
      <c r="N1285" s="74"/>
    </row>
    <row r="1286" spans="14:14" x14ac:dyDescent="0.25">
      <c r="N1286" s="74"/>
    </row>
    <row r="1287" spans="14:14" x14ac:dyDescent="0.25">
      <c r="N1287" s="74"/>
    </row>
    <row r="1288" spans="14:14" x14ac:dyDescent="0.25">
      <c r="N1288" s="74"/>
    </row>
    <row r="1289" spans="14:14" x14ac:dyDescent="0.25">
      <c r="N1289" s="74"/>
    </row>
    <row r="1290" spans="14:14" x14ac:dyDescent="0.25">
      <c r="N1290" s="74"/>
    </row>
    <row r="1291" spans="14:14" x14ac:dyDescent="0.25">
      <c r="N1291" s="74"/>
    </row>
    <row r="1292" spans="14:14" x14ac:dyDescent="0.25">
      <c r="N1292" s="74"/>
    </row>
    <row r="1293" spans="14:14" x14ac:dyDescent="0.25">
      <c r="N1293" s="74"/>
    </row>
    <row r="1294" spans="14:14" x14ac:dyDescent="0.25">
      <c r="N1294" s="74"/>
    </row>
    <row r="1295" spans="14:14" x14ac:dyDescent="0.25">
      <c r="N1295" s="74"/>
    </row>
    <row r="1296" spans="14:14" x14ac:dyDescent="0.25">
      <c r="N1296" s="74"/>
    </row>
    <row r="1297" spans="14:14" x14ac:dyDescent="0.25">
      <c r="N1297" s="74"/>
    </row>
    <row r="1298" spans="14:14" x14ac:dyDescent="0.25">
      <c r="N1298" s="74"/>
    </row>
    <row r="1299" spans="14:14" x14ac:dyDescent="0.25">
      <c r="N1299" s="74"/>
    </row>
    <row r="1300" spans="14:14" x14ac:dyDescent="0.25">
      <c r="N1300" s="74"/>
    </row>
    <row r="1301" spans="14:14" x14ac:dyDescent="0.25">
      <c r="N1301" s="74"/>
    </row>
    <row r="1302" spans="14:14" x14ac:dyDescent="0.25">
      <c r="N1302" s="74"/>
    </row>
    <row r="1303" spans="14:14" x14ac:dyDescent="0.25">
      <c r="N1303" s="74"/>
    </row>
    <row r="1304" spans="14:14" x14ac:dyDescent="0.25">
      <c r="N1304" s="74"/>
    </row>
    <row r="1305" spans="14:14" x14ac:dyDescent="0.25">
      <c r="N1305" s="74"/>
    </row>
    <row r="1306" spans="14:14" x14ac:dyDescent="0.25">
      <c r="N1306" s="74"/>
    </row>
    <row r="1307" spans="14:14" x14ac:dyDescent="0.25">
      <c r="N1307" s="74"/>
    </row>
    <row r="1308" spans="14:14" x14ac:dyDescent="0.25">
      <c r="N1308" s="74"/>
    </row>
    <row r="1309" spans="14:14" x14ac:dyDescent="0.25">
      <c r="N1309" s="74"/>
    </row>
    <row r="1310" spans="14:14" x14ac:dyDescent="0.25">
      <c r="N1310" s="74"/>
    </row>
    <row r="1311" spans="14:14" x14ac:dyDescent="0.25">
      <c r="N1311" s="74"/>
    </row>
    <row r="1312" spans="14:14" x14ac:dyDescent="0.25">
      <c r="N1312" s="74"/>
    </row>
    <row r="1313" spans="14:14" x14ac:dyDescent="0.25">
      <c r="N1313" s="74"/>
    </row>
    <row r="1314" spans="14:14" x14ac:dyDescent="0.25">
      <c r="N1314" s="74"/>
    </row>
    <row r="1315" spans="14:14" x14ac:dyDescent="0.25">
      <c r="N1315" s="74"/>
    </row>
    <row r="1316" spans="14:14" x14ac:dyDescent="0.25">
      <c r="N1316" s="74"/>
    </row>
    <row r="1317" spans="14:14" x14ac:dyDescent="0.25">
      <c r="N1317" s="74"/>
    </row>
    <row r="1318" spans="14:14" x14ac:dyDescent="0.25">
      <c r="N1318" s="74"/>
    </row>
    <row r="1319" spans="14:14" x14ac:dyDescent="0.25">
      <c r="N1319" s="74"/>
    </row>
    <row r="1320" spans="14:14" x14ac:dyDescent="0.25">
      <c r="N1320" s="74"/>
    </row>
    <row r="1321" spans="14:14" x14ac:dyDescent="0.25">
      <c r="N1321" s="74"/>
    </row>
    <row r="1322" spans="14:14" x14ac:dyDescent="0.25">
      <c r="N1322" s="74"/>
    </row>
    <row r="1323" spans="14:14" x14ac:dyDescent="0.25">
      <c r="N1323" s="74"/>
    </row>
    <row r="1324" spans="14:14" x14ac:dyDescent="0.25">
      <c r="N1324" s="74"/>
    </row>
    <row r="1325" spans="14:14" x14ac:dyDescent="0.25">
      <c r="N1325" s="74"/>
    </row>
    <row r="1326" spans="14:14" x14ac:dyDescent="0.25">
      <c r="N1326" s="74"/>
    </row>
    <row r="1327" spans="14:14" x14ac:dyDescent="0.25">
      <c r="N1327" s="74"/>
    </row>
    <row r="1328" spans="14:14" x14ac:dyDescent="0.25">
      <c r="N1328" s="74"/>
    </row>
    <row r="1329" spans="14:14" x14ac:dyDescent="0.25">
      <c r="N1329" s="74"/>
    </row>
    <row r="1330" spans="14:14" x14ac:dyDescent="0.25">
      <c r="N1330" s="74"/>
    </row>
    <row r="1331" spans="14:14" x14ac:dyDescent="0.25">
      <c r="N1331" s="74"/>
    </row>
    <row r="1332" spans="14:14" x14ac:dyDescent="0.25">
      <c r="N1332" s="74"/>
    </row>
    <row r="1333" spans="14:14" x14ac:dyDescent="0.25">
      <c r="N1333" s="74"/>
    </row>
    <row r="1334" spans="14:14" x14ac:dyDescent="0.25">
      <c r="N1334" s="74"/>
    </row>
    <row r="1335" spans="14:14" x14ac:dyDescent="0.25">
      <c r="N1335" s="74"/>
    </row>
    <row r="1336" spans="14:14" x14ac:dyDescent="0.25">
      <c r="N1336" s="74"/>
    </row>
    <row r="1337" spans="14:14" x14ac:dyDescent="0.25">
      <c r="N1337" s="74"/>
    </row>
    <row r="1338" spans="14:14" x14ac:dyDescent="0.25">
      <c r="N1338" s="74"/>
    </row>
    <row r="1339" spans="14:14" x14ac:dyDescent="0.25">
      <c r="N1339" s="74"/>
    </row>
    <row r="1340" spans="14:14" x14ac:dyDescent="0.25">
      <c r="N1340" s="74"/>
    </row>
    <row r="1341" spans="14:14" x14ac:dyDescent="0.25">
      <c r="N1341" s="74"/>
    </row>
    <row r="1342" spans="14:14" x14ac:dyDescent="0.25">
      <c r="N1342" s="74"/>
    </row>
    <row r="1343" spans="14:14" x14ac:dyDescent="0.25">
      <c r="N1343" s="74"/>
    </row>
    <row r="1344" spans="14:14" x14ac:dyDescent="0.25">
      <c r="N1344" s="74"/>
    </row>
    <row r="1345" spans="14:14" x14ac:dyDescent="0.25">
      <c r="N1345" s="74"/>
    </row>
    <row r="1346" spans="14:14" x14ac:dyDescent="0.25">
      <c r="N1346" s="74"/>
    </row>
    <row r="1347" spans="14:14" x14ac:dyDescent="0.25">
      <c r="N1347" s="74"/>
    </row>
    <row r="1348" spans="14:14" x14ac:dyDescent="0.25">
      <c r="N1348" s="74"/>
    </row>
    <row r="1349" spans="14:14" x14ac:dyDescent="0.25">
      <c r="N1349" s="74"/>
    </row>
    <row r="1350" spans="14:14" x14ac:dyDescent="0.25">
      <c r="N1350" s="74"/>
    </row>
    <row r="1351" spans="14:14" x14ac:dyDescent="0.25">
      <c r="N1351" s="74"/>
    </row>
    <row r="1352" spans="14:14" x14ac:dyDescent="0.25">
      <c r="N1352" s="74"/>
    </row>
    <row r="1353" spans="14:14" x14ac:dyDescent="0.25">
      <c r="N1353" s="74"/>
    </row>
    <row r="1354" spans="14:14" x14ac:dyDescent="0.25">
      <c r="N1354" s="74"/>
    </row>
    <row r="1355" spans="14:14" x14ac:dyDescent="0.25">
      <c r="N1355" s="74"/>
    </row>
    <row r="1356" spans="14:14" x14ac:dyDescent="0.25">
      <c r="N1356" s="74"/>
    </row>
    <row r="1357" spans="14:14" x14ac:dyDescent="0.25">
      <c r="N1357" s="74"/>
    </row>
    <row r="1358" spans="14:14" x14ac:dyDescent="0.25">
      <c r="N1358" s="74"/>
    </row>
    <row r="1359" spans="14:14" x14ac:dyDescent="0.25">
      <c r="N1359" s="74"/>
    </row>
    <row r="1360" spans="14:14" x14ac:dyDescent="0.25">
      <c r="N1360" s="74"/>
    </row>
    <row r="1361" spans="14:14" x14ac:dyDescent="0.25">
      <c r="N1361" s="74"/>
    </row>
    <row r="1362" spans="14:14" x14ac:dyDescent="0.25">
      <c r="N1362" s="74"/>
    </row>
    <row r="1363" spans="14:14" x14ac:dyDescent="0.25">
      <c r="N1363" s="74"/>
    </row>
    <row r="1364" spans="14:14" x14ac:dyDescent="0.25">
      <c r="N1364" s="74"/>
    </row>
    <row r="1365" spans="14:14" x14ac:dyDescent="0.25">
      <c r="N1365" s="74"/>
    </row>
    <row r="1366" spans="14:14" x14ac:dyDescent="0.25">
      <c r="N1366" s="74"/>
    </row>
    <row r="1367" spans="14:14" x14ac:dyDescent="0.25">
      <c r="N1367" s="74"/>
    </row>
    <row r="1368" spans="14:14" x14ac:dyDescent="0.25">
      <c r="N1368" s="74"/>
    </row>
    <row r="1369" spans="14:14" x14ac:dyDescent="0.25">
      <c r="N1369" s="74"/>
    </row>
    <row r="1370" spans="14:14" x14ac:dyDescent="0.25">
      <c r="N1370" s="74"/>
    </row>
    <row r="1371" spans="14:14" x14ac:dyDescent="0.25">
      <c r="N1371" s="74"/>
    </row>
    <row r="1372" spans="14:14" x14ac:dyDescent="0.25">
      <c r="N1372" s="74"/>
    </row>
    <row r="1373" spans="14:14" x14ac:dyDescent="0.25">
      <c r="N1373" s="74"/>
    </row>
    <row r="1374" spans="14:14" x14ac:dyDescent="0.25">
      <c r="N1374" s="74"/>
    </row>
    <row r="1375" spans="14:14" x14ac:dyDescent="0.25">
      <c r="N1375" s="74"/>
    </row>
    <row r="1376" spans="14:14" x14ac:dyDescent="0.25">
      <c r="N1376" s="74"/>
    </row>
    <row r="1377" spans="14:14" x14ac:dyDescent="0.25">
      <c r="N1377" s="74"/>
    </row>
    <row r="1378" spans="14:14" x14ac:dyDescent="0.25">
      <c r="N1378" s="74"/>
    </row>
    <row r="1379" spans="14:14" x14ac:dyDescent="0.25">
      <c r="N1379" s="74"/>
    </row>
    <row r="1380" spans="14:14" x14ac:dyDescent="0.25">
      <c r="N1380" s="74"/>
    </row>
    <row r="1381" spans="14:14" x14ac:dyDescent="0.25">
      <c r="N1381" s="74"/>
    </row>
    <row r="1382" spans="14:14" x14ac:dyDescent="0.25">
      <c r="N1382" s="74"/>
    </row>
    <row r="1383" spans="14:14" x14ac:dyDescent="0.25">
      <c r="N1383" s="74"/>
    </row>
    <row r="1384" spans="14:14" x14ac:dyDescent="0.25">
      <c r="N1384" s="74"/>
    </row>
    <row r="1385" spans="14:14" x14ac:dyDescent="0.25">
      <c r="N1385" s="74"/>
    </row>
    <row r="1386" spans="14:14" x14ac:dyDescent="0.25">
      <c r="N1386" s="74"/>
    </row>
    <row r="1387" spans="14:14" x14ac:dyDescent="0.25">
      <c r="N1387" s="74"/>
    </row>
    <row r="1388" spans="14:14" x14ac:dyDescent="0.25">
      <c r="N1388" s="74"/>
    </row>
    <row r="1389" spans="14:14" x14ac:dyDescent="0.25">
      <c r="N1389" s="74"/>
    </row>
    <row r="1390" spans="14:14" x14ac:dyDescent="0.25">
      <c r="N1390" s="74"/>
    </row>
    <row r="1391" spans="14:14" x14ac:dyDescent="0.25">
      <c r="N1391" s="74"/>
    </row>
    <row r="1392" spans="14:14" x14ac:dyDescent="0.25">
      <c r="N1392" s="74"/>
    </row>
    <row r="1393" spans="14:14" x14ac:dyDescent="0.25">
      <c r="N1393" s="74"/>
    </row>
    <row r="1394" spans="14:14" x14ac:dyDescent="0.25">
      <c r="N1394" s="74"/>
    </row>
    <row r="1395" spans="14:14" x14ac:dyDescent="0.25">
      <c r="N1395" s="74"/>
    </row>
    <row r="1396" spans="14:14" x14ac:dyDescent="0.25">
      <c r="N1396" s="74"/>
    </row>
    <row r="1397" spans="14:14" x14ac:dyDescent="0.25">
      <c r="N1397" s="74"/>
    </row>
    <row r="1398" spans="14:14" x14ac:dyDescent="0.25">
      <c r="N1398" s="74"/>
    </row>
    <row r="1399" spans="14:14" x14ac:dyDescent="0.25">
      <c r="N1399" s="74"/>
    </row>
    <row r="1400" spans="14:14" x14ac:dyDescent="0.25">
      <c r="N1400" s="74"/>
    </row>
    <row r="1401" spans="14:14" x14ac:dyDescent="0.25">
      <c r="N1401" s="74"/>
    </row>
    <row r="1402" spans="14:14" x14ac:dyDescent="0.25">
      <c r="N1402" s="74"/>
    </row>
    <row r="1403" spans="14:14" x14ac:dyDescent="0.25">
      <c r="N1403" s="74"/>
    </row>
    <row r="1404" spans="14:14" x14ac:dyDescent="0.25">
      <c r="N1404" s="74"/>
    </row>
    <row r="1405" spans="14:14" x14ac:dyDescent="0.25">
      <c r="N1405" s="74"/>
    </row>
    <row r="1406" spans="14:14" x14ac:dyDescent="0.25">
      <c r="N1406" s="74"/>
    </row>
    <row r="1407" spans="14:14" x14ac:dyDescent="0.25">
      <c r="N1407" s="74"/>
    </row>
    <row r="1408" spans="14:14" x14ac:dyDescent="0.25">
      <c r="N1408" s="74"/>
    </row>
    <row r="1409" spans="14:14" x14ac:dyDescent="0.25">
      <c r="N1409" s="74"/>
    </row>
    <row r="1410" spans="14:14" x14ac:dyDescent="0.25">
      <c r="N1410" s="74"/>
    </row>
    <row r="1411" spans="14:14" x14ac:dyDescent="0.25">
      <c r="N1411" s="74"/>
    </row>
    <row r="1412" spans="14:14" x14ac:dyDescent="0.25">
      <c r="N1412" s="74"/>
    </row>
    <row r="1413" spans="14:14" x14ac:dyDescent="0.25">
      <c r="N1413" s="74"/>
    </row>
    <row r="1414" spans="14:14" x14ac:dyDescent="0.25">
      <c r="N1414" s="74"/>
    </row>
    <row r="1415" spans="14:14" x14ac:dyDescent="0.25">
      <c r="N1415" s="74"/>
    </row>
    <row r="1416" spans="14:14" x14ac:dyDescent="0.25">
      <c r="N1416" s="74"/>
    </row>
    <row r="1417" spans="14:14" x14ac:dyDescent="0.25">
      <c r="N1417" s="74"/>
    </row>
    <row r="1418" spans="14:14" x14ac:dyDescent="0.25">
      <c r="N1418" s="74"/>
    </row>
    <row r="1419" spans="14:14" x14ac:dyDescent="0.25">
      <c r="N1419" s="74"/>
    </row>
    <row r="1420" spans="14:14" x14ac:dyDescent="0.25">
      <c r="N1420" s="74"/>
    </row>
    <row r="1421" spans="14:14" x14ac:dyDescent="0.25">
      <c r="N1421" s="74"/>
    </row>
    <row r="1422" spans="14:14" x14ac:dyDescent="0.25">
      <c r="N1422" s="74"/>
    </row>
    <row r="1423" spans="14:14" x14ac:dyDescent="0.25">
      <c r="N1423" s="74"/>
    </row>
    <row r="1424" spans="14:14" x14ac:dyDescent="0.25">
      <c r="N1424" s="74"/>
    </row>
    <row r="1425" spans="14:14" x14ac:dyDescent="0.25">
      <c r="N1425" s="74"/>
    </row>
    <row r="1426" spans="14:14" x14ac:dyDescent="0.25">
      <c r="N1426" s="74"/>
    </row>
    <row r="1427" spans="14:14" x14ac:dyDescent="0.25">
      <c r="N1427" s="74"/>
    </row>
    <row r="1428" spans="14:14" x14ac:dyDescent="0.25">
      <c r="N1428" s="74"/>
    </row>
    <row r="1429" spans="14:14" x14ac:dyDescent="0.25">
      <c r="N1429" s="74"/>
    </row>
    <row r="1430" spans="14:14" x14ac:dyDescent="0.25">
      <c r="N1430" s="74"/>
    </row>
    <row r="1431" spans="14:14" x14ac:dyDescent="0.25">
      <c r="N1431" s="74"/>
    </row>
    <row r="1432" spans="14:14" x14ac:dyDescent="0.25">
      <c r="N1432" s="74"/>
    </row>
    <row r="1433" spans="14:14" x14ac:dyDescent="0.25">
      <c r="N1433" s="74"/>
    </row>
    <row r="1434" spans="14:14" x14ac:dyDescent="0.25">
      <c r="N1434" s="74"/>
    </row>
    <row r="1435" spans="14:14" x14ac:dyDescent="0.25">
      <c r="N1435" s="74"/>
    </row>
    <row r="1436" spans="14:14" x14ac:dyDescent="0.25">
      <c r="N1436" s="74"/>
    </row>
    <row r="1437" spans="14:14" x14ac:dyDescent="0.25">
      <c r="N1437" s="74"/>
    </row>
    <row r="1438" spans="14:14" x14ac:dyDescent="0.25">
      <c r="N1438" s="74"/>
    </row>
    <row r="1439" spans="14:14" x14ac:dyDescent="0.25">
      <c r="N1439" s="74"/>
    </row>
    <row r="1440" spans="14:14" x14ac:dyDescent="0.25">
      <c r="N1440" s="74"/>
    </row>
    <row r="1441" spans="14:14" x14ac:dyDescent="0.25">
      <c r="N1441" s="74"/>
    </row>
    <row r="1442" spans="14:14" x14ac:dyDescent="0.25">
      <c r="N1442" s="74"/>
    </row>
    <row r="1443" spans="14:14" x14ac:dyDescent="0.25">
      <c r="N1443" s="74"/>
    </row>
    <row r="1444" spans="14:14" x14ac:dyDescent="0.25">
      <c r="N1444" s="74"/>
    </row>
    <row r="1445" spans="14:14" x14ac:dyDescent="0.25">
      <c r="N1445" s="74"/>
    </row>
    <row r="1446" spans="14:14" x14ac:dyDescent="0.25">
      <c r="N1446" s="74"/>
    </row>
    <row r="1447" spans="14:14" x14ac:dyDescent="0.25">
      <c r="N1447" s="74"/>
    </row>
    <row r="1448" spans="14:14" x14ac:dyDescent="0.25">
      <c r="N1448" s="74"/>
    </row>
    <row r="1449" spans="14:14" x14ac:dyDescent="0.25">
      <c r="N1449" s="74"/>
    </row>
    <row r="1450" spans="14:14" x14ac:dyDescent="0.25">
      <c r="N1450" s="74"/>
    </row>
    <row r="1451" spans="14:14" x14ac:dyDescent="0.25">
      <c r="N1451" s="74"/>
    </row>
    <row r="1452" spans="14:14" x14ac:dyDescent="0.25">
      <c r="N1452" s="74"/>
    </row>
    <row r="1453" spans="14:14" x14ac:dyDescent="0.25">
      <c r="N1453" s="74"/>
    </row>
    <row r="1454" spans="14:14" x14ac:dyDescent="0.25">
      <c r="N1454" s="74"/>
    </row>
    <row r="1455" spans="14:14" x14ac:dyDescent="0.25">
      <c r="N1455" s="74"/>
    </row>
    <row r="1456" spans="14:14" x14ac:dyDescent="0.25">
      <c r="N1456" s="74"/>
    </row>
    <row r="1457" spans="14:14" x14ac:dyDescent="0.25">
      <c r="N1457" s="74"/>
    </row>
    <row r="1458" spans="14:14" x14ac:dyDescent="0.25">
      <c r="N1458" s="74"/>
    </row>
    <row r="1459" spans="14:14" x14ac:dyDescent="0.25">
      <c r="N1459" s="74"/>
    </row>
    <row r="1460" spans="14:14" x14ac:dyDescent="0.25">
      <c r="N1460" s="74"/>
    </row>
    <row r="1461" spans="14:14" x14ac:dyDescent="0.25">
      <c r="N1461" s="74"/>
    </row>
    <row r="1462" spans="14:14" x14ac:dyDescent="0.25">
      <c r="N1462" s="74"/>
    </row>
    <row r="1463" spans="14:14" x14ac:dyDescent="0.25">
      <c r="N1463" s="74"/>
    </row>
    <row r="1464" spans="14:14" x14ac:dyDescent="0.25">
      <c r="N1464" s="74"/>
    </row>
    <row r="1465" spans="14:14" x14ac:dyDescent="0.25">
      <c r="N1465" s="74"/>
    </row>
    <row r="1466" spans="14:14" x14ac:dyDescent="0.25">
      <c r="N1466" s="74"/>
    </row>
    <row r="1467" spans="14:14" x14ac:dyDescent="0.25">
      <c r="N1467" s="74"/>
    </row>
    <row r="1468" spans="14:14" x14ac:dyDescent="0.25">
      <c r="N1468" s="74"/>
    </row>
    <row r="1469" spans="14:14" x14ac:dyDescent="0.25">
      <c r="N1469" s="74"/>
    </row>
    <row r="1470" spans="14:14" x14ac:dyDescent="0.25">
      <c r="N1470" s="74"/>
    </row>
    <row r="1471" spans="14:14" x14ac:dyDescent="0.25">
      <c r="N1471" s="74"/>
    </row>
    <row r="1472" spans="14:14" x14ac:dyDescent="0.25">
      <c r="N1472" s="74"/>
    </row>
    <row r="1473" spans="14:14" x14ac:dyDescent="0.25">
      <c r="N1473" s="74"/>
    </row>
    <row r="1474" spans="14:14" x14ac:dyDescent="0.25">
      <c r="N1474" s="74"/>
    </row>
    <row r="1475" spans="14:14" x14ac:dyDescent="0.25">
      <c r="N1475" s="74"/>
    </row>
    <row r="1476" spans="14:14" x14ac:dyDescent="0.25">
      <c r="N1476" s="74"/>
    </row>
    <row r="1477" spans="14:14" x14ac:dyDescent="0.25">
      <c r="N1477" s="74"/>
    </row>
    <row r="1478" spans="14:14" x14ac:dyDescent="0.25">
      <c r="N1478" s="74"/>
    </row>
    <row r="1479" spans="14:14" x14ac:dyDescent="0.25">
      <c r="N1479" s="74"/>
    </row>
    <row r="1480" spans="14:14" x14ac:dyDescent="0.25">
      <c r="N1480" s="74"/>
    </row>
    <row r="1481" spans="14:14" x14ac:dyDescent="0.25">
      <c r="N1481" s="74"/>
    </row>
    <row r="1482" spans="14:14" x14ac:dyDescent="0.25">
      <c r="N1482" s="74"/>
    </row>
    <row r="1483" spans="14:14" x14ac:dyDescent="0.25">
      <c r="N1483" s="74"/>
    </row>
    <row r="1484" spans="14:14" x14ac:dyDescent="0.25">
      <c r="N1484" s="74"/>
    </row>
    <row r="1485" spans="14:14" x14ac:dyDescent="0.25">
      <c r="N1485" s="74"/>
    </row>
    <row r="1486" spans="14:14" x14ac:dyDescent="0.25">
      <c r="N1486" s="74"/>
    </row>
    <row r="1487" spans="14:14" x14ac:dyDescent="0.25">
      <c r="N1487" s="74"/>
    </row>
    <row r="1488" spans="14:14" x14ac:dyDescent="0.25">
      <c r="N1488" s="74"/>
    </row>
    <row r="1489" spans="14:14" x14ac:dyDescent="0.25">
      <c r="N1489" s="74"/>
    </row>
    <row r="1490" spans="14:14" x14ac:dyDescent="0.25">
      <c r="N1490" s="74"/>
    </row>
    <row r="1491" spans="14:14" x14ac:dyDescent="0.25">
      <c r="N1491" s="74"/>
    </row>
    <row r="1492" spans="14:14" x14ac:dyDescent="0.25">
      <c r="N1492" s="74"/>
    </row>
    <row r="1493" spans="14:14" x14ac:dyDescent="0.25">
      <c r="N1493" s="74"/>
    </row>
    <row r="1494" spans="14:14" x14ac:dyDescent="0.25">
      <c r="N1494" s="74"/>
    </row>
    <row r="1495" spans="14:14" x14ac:dyDescent="0.25">
      <c r="N1495" s="74"/>
    </row>
    <row r="1496" spans="14:14" x14ac:dyDescent="0.25">
      <c r="N1496" s="74"/>
    </row>
    <row r="1497" spans="14:14" x14ac:dyDescent="0.25">
      <c r="N1497" s="74"/>
    </row>
    <row r="1498" spans="14:14" x14ac:dyDescent="0.25">
      <c r="N1498" s="74"/>
    </row>
    <row r="1499" spans="14:14" x14ac:dyDescent="0.25">
      <c r="N1499" s="74"/>
    </row>
    <row r="1500" spans="14:14" x14ac:dyDescent="0.25">
      <c r="N1500" s="74"/>
    </row>
    <row r="1501" spans="14:14" x14ac:dyDescent="0.25">
      <c r="N1501" s="74"/>
    </row>
    <row r="1502" spans="14:14" x14ac:dyDescent="0.25">
      <c r="N1502" s="74"/>
    </row>
    <row r="1503" spans="14:14" x14ac:dyDescent="0.25">
      <c r="N1503" s="74"/>
    </row>
    <row r="1504" spans="14:14" x14ac:dyDescent="0.25">
      <c r="N1504" s="74"/>
    </row>
    <row r="1505" spans="14:14" x14ac:dyDescent="0.25">
      <c r="N1505" s="74"/>
    </row>
    <row r="1506" spans="14:14" x14ac:dyDescent="0.25">
      <c r="N1506" s="74"/>
    </row>
    <row r="1507" spans="14:14" x14ac:dyDescent="0.25">
      <c r="N1507" s="74"/>
    </row>
    <row r="1508" spans="14:14" x14ac:dyDescent="0.25">
      <c r="N1508" s="74"/>
    </row>
    <row r="1509" spans="14:14" x14ac:dyDescent="0.25">
      <c r="N1509" s="74"/>
    </row>
    <row r="1510" spans="14:14" x14ac:dyDescent="0.25">
      <c r="N1510" s="74"/>
    </row>
    <row r="1511" spans="14:14" x14ac:dyDescent="0.25">
      <c r="N1511" s="74"/>
    </row>
    <row r="1512" spans="14:14" x14ac:dyDescent="0.25">
      <c r="N1512" s="74"/>
    </row>
    <row r="1513" spans="14:14" x14ac:dyDescent="0.25">
      <c r="N1513" s="74"/>
    </row>
    <row r="1514" spans="14:14" x14ac:dyDescent="0.25">
      <c r="N1514" s="74"/>
    </row>
    <row r="1515" spans="14:14" x14ac:dyDescent="0.25">
      <c r="N1515" s="74"/>
    </row>
    <row r="1516" spans="14:14" x14ac:dyDescent="0.25">
      <c r="N1516" s="74"/>
    </row>
    <row r="1517" spans="14:14" x14ac:dyDescent="0.25">
      <c r="N1517" s="74"/>
    </row>
    <row r="1518" spans="14:14" x14ac:dyDescent="0.25">
      <c r="N1518" s="74"/>
    </row>
    <row r="1519" spans="14:14" x14ac:dyDescent="0.25">
      <c r="N1519" s="74"/>
    </row>
    <row r="1520" spans="14:14" x14ac:dyDescent="0.25">
      <c r="N1520" s="74"/>
    </row>
    <row r="1521" spans="14:14" x14ac:dyDescent="0.25">
      <c r="N1521" s="74"/>
    </row>
    <row r="1522" spans="14:14" x14ac:dyDescent="0.25">
      <c r="N1522" s="74"/>
    </row>
    <row r="1523" spans="14:14" x14ac:dyDescent="0.25">
      <c r="N1523" s="74"/>
    </row>
    <row r="1524" spans="14:14" x14ac:dyDescent="0.25">
      <c r="N1524" s="74"/>
    </row>
    <row r="1525" spans="14:14" x14ac:dyDescent="0.25">
      <c r="N1525" s="74"/>
    </row>
    <row r="1526" spans="14:14" x14ac:dyDescent="0.25">
      <c r="N1526" s="74"/>
    </row>
    <row r="1527" spans="14:14" x14ac:dyDescent="0.25">
      <c r="N1527" s="74"/>
    </row>
    <row r="1528" spans="14:14" x14ac:dyDescent="0.25">
      <c r="N1528" s="74"/>
    </row>
    <row r="1529" spans="14:14" x14ac:dyDescent="0.25">
      <c r="N1529" s="74"/>
    </row>
    <row r="1530" spans="14:14" x14ac:dyDescent="0.25">
      <c r="N1530" s="74"/>
    </row>
    <row r="1531" spans="14:14" x14ac:dyDescent="0.25">
      <c r="N1531" s="74"/>
    </row>
    <row r="1532" spans="14:14" x14ac:dyDescent="0.25">
      <c r="N1532" s="74"/>
    </row>
    <row r="1533" spans="14:14" x14ac:dyDescent="0.25">
      <c r="N1533" s="74"/>
    </row>
    <row r="1534" spans="14:14" x14ac:dyDescent="0.25">
      <c r="N1534" s="74"/>
    </row>
    <row r="1535" spans="14:14" x14ac:dyDescent="0.25">
      <c r="N1535" s="74"/>
    </row>
    <row r="1536" spans="14:14" x14ac:dyDescent="0.25">
      <c r="N1536" s="74"/>
    </row>
    <row r="1537" spans="14:14" x14ac:dyDescent="0.25">
      <c r="N1537" s="74"/>
    </row>
    <row r="1538" spans="14:14" x14ac:dyDescent="0.25">
      <c r="N1538" s="74"/>
    </row>
    <row r="1539" spans="14:14" x14ac:dyDescent="0.25">
      <c r="N1539" s="74"/>
    </row>
    <row r="1540" spans="14:14" x14ac:dyDescent="0.25">
      <c r="N1540" s="74"/>
    </row>
    <row r="1541" spans="14:14" x14ac:dyDescent="0.25">
      <c r="N1541" s="74"/>
    </row>
    <row r="1542" spans="14:14" x14ac:dyDescent="0.25">
      <c r="N1542" s="74"/>
    </row>
    <row r="1543" spans="14:14" x14ac:dyDescent="0.25">
      <c r="N1543" s="74"/>
    </row>
    <row r="1544" spans="14:14" x14ac:dyDescent="0.25">
      <c r="N1544" s="74"/>
    </row>
    <row r="1545" spans="14:14" x14ac:dyDescent="0.25">
      <c r="N1545" s="74"/>
    </row>
    <row r="1546" spans="14:14" x14ac:dyDescent="0.25">
      <c r="N1546" s="74"/>
    </row>
    <row r="1547" spans="14:14" x14ac:dyDescent="0.25">
      <c r="N1547" s="74"/>
    </row>
    <row r="1548" spans="14:14" x14ac:dyDescent="0.25">
      <c r="N1548" s="74"/>
    </row>
    <row r="1549" spans="14:14" x14ac:dyDescent="0.25">
      <c r="N1549" s="74"/>
    </row>
    <row r="1550" spans="14:14" x14ac:dyDescent="0.25">
      <c r="N1550" s="74"/>
    </row>
    <row r="1551" spans="14:14" x14ac:dyDescent="0.25">
      <c r="N1551" s="74"/>
    </row>
    <row r="1552" spans="14:14" x14ac:dyDescent="0.25">
      <c r="N1552" s="74"/>
    </row>
    <row r="1553" spans="14:14" x14ac:dyDescent="0.25">
      <c r="N1553" s="74"/>
    </row>
    <row r="1554" spans="14:14" x14ac:dyDescent="0.25">
      <c r="N1554" s="74"/>
    </row>
    <row r="1555" spans="14:14" x14ac:dyDescent="0.25">
      <c r="N1555" s="74"/>
    </row>
    <row r="1556" spans="14:14" x14ac:dyDescent="0.25">
      <c r="N1556" s="74"/>
    </row>
    <row r="1557" spans="14:14" x14ac:dyDescent="0.25">
      <c r="N1557" s="74"/>
    </row>
    <row r="1558" spans="14:14" x14ac:dyDescent="0.25">
      <c r="N1558" s="74"/>
    </row>
    <row r="1559" spans="14:14" x14ac:dyDescent="0.25">
      <c r="N1559" s="74"/>
    </row>
    <row r="1560" spans="14:14" x14ac:dyDescent="0.25">
      <c r="N1560" s="74"/>
    </row>
    <row r="1561" spans="14:14" x14ac:dyDescent="0.25">
      <c r="N1561" s="74"/>
    </row>
    <row r="1562" spans="14:14" x14ac:dyDescent="0.25">
      <c r="N1562" s="74"/>
    </row>
    <row r="1563" spans="14:14" x14ac:dyDescent="0.25">
      <c r="N1563" s="74"/>
    </row>
    <row r="1564" spans="14:14" x14ac:dyDescent="0.25">
      <c r="N1564" s="74"/>
    </row>
    <row r="1565" spans="14:14" x14ac:dyDescent="0.25">
      <c r="N1565" s="74"/>
    </row>
    <row r="1566" spans="14:14" x14ac:dyDescent="0.25">
      <c r="N1566" s="74"/>
    </row>
    <row r="1567" spans="14:14" x14ac:dyDescent="0.25">
      <c r="N1567" s="74"/>
    </row>
    <row r="1568" spans="14:14" x14ac:dyDescent="0.25">
      <c r="N1568" s="74"/>
    </row>
    <row r="1569" spans="14:14" x14ac:dyDescent="0.25">
      <c r="N1569" s="74"/>
    </row>
    <row r="1570" spans="14:14" x14ac:dyDescent="0.25">
      <c r="N1570" s="74"/>
    </row>
    <row r="1571" spans="14:14" x14ac:dyDescent="0.25">
      <c r="N1571" s="74"/>
    </row>
    <row r="1572" spans="14:14" x14ac:dyDescent="0.25">
      <c r="N1572" s="74"/>
    </row>
    <row r="1573" spans="14:14" x14ac:dyDescent="0.25">
      <c r="N1573" s="74"/>
    </row>
    <row r="1574" spans="14:14" x14ac:dyDescent="0.25">
      <c r="N1574" s="74"/>
    </row>
    <row r="1575" spans="14:14" x14ac:dyDescent="0.25">
      <c r="N1575" s="74"/>
    </row>
    <row r="1576" spans="14:14" x14ac:dyDescent="0.25">
      <c r="N1576" s="74"/>
    </row>
    <row r="1577" spans="14:14" x14ac:dyDescent="0.25">
      <c r="N1577" s="74"/>
    </row>
    <row r="1578" spans="14:14" x14ac:dyDescent="0.25">
      <c r="N1578" s="74"/>
    </row>
    <row r="1579" spans="14:14" x14ac:dyDescent="0.25">
      <c r="N1579" s="74"/>
    </row>
    <row r="1580" spans="14:14" x14ac:dyDescent="0.25">
      <c r="N1580" s="74"/>
    </row>
    <row r="1581" spans="14:14" x14ac:dyDescent="0.25">
      <c r="N1581" s="74"/>
    </row>
    <row r="1582" spans="14:14" x14ac:dyDescent="0.25">
      <c r="N1582" s="74"/>
    </row>
    <row r="1583" spans="14:14" x14ac:dyDescent="0.25">
      <c r="N1583" s="74"/>
    </row>
    <row r="1584" spans="14:14" x14ac:dyDescent="0.25">
      <c r="N1584" s="74"/>
    </row>
    <row r="1585" spans="14:14" x14ac:dyDescent="0.25">
      <c r="N1585" s="74"/>
    </row>
    <row r="1586" spans="14:14" x14ac:dyDescent="0.25">
      <c r="N1586" s="74"/>
    </row>
    <row r="1587" spans="14:14" x14ac:dyDescent="0.25">
      <c r="N1587" s="74"/>
    </row>
    <row r="1588" spans="14:14" x14ac:dyDescent="0.25">
      <c r="N1588" s="74"/>
    </row>
    <row r="1589" spans="14:14" x14ac:dyDescent="0.25">
      <c r="N1589" s="74"/>
    </row>
    <row r="1590" spans="14:14" x14ac:dyDescent="0.25">
      <c r="N1590" s="74"/>
    </row>
    <row r="1591" spans="14:14" x14ac:dyDescent="0.25">
      <c r="N1591" s="74"/>
    </row>
    <row r="1592" spans="14:14" x14ac:dyDescent="0.25">
      <c r="N1592" s="74"/>
    </row>
    <row r="1593" spans="14:14" x14ac:dyDescent="0.25">
      <c r="N1593" s="74"/>
    </row>
    <row r="1594" spans="14:14" x14ac:dyDescent="0.25">
      <c r="N1594" s="74"/>
    </row>
    <row r="1595" spans="14:14" x14ac:dyDescent="0.25">
      <c r="N1595" s="74"/>
    </row>
    <row r="1596" spans="14:14" x14ac:dyDescent="0.25">
      <c r="N1596" s="74"/>
    </row>
    <row r="1597" spans="14:14" x14ac:dyDescent="0.25">
      <c r="N1597" s="74"/>
    </row>
    <row r="1598" spans="14:14" x14ac:dyDescent="0.25">
      <c r="N1598" s="74"/>
    </row>
    <row r="1599" spans="14:14" x14ac:dyDescent="0.25">
      <c r="N1599" s="74"/>
    </row>
    <row r="1600" spans="14:14" x14ac:dyDescent="0.25">
      <c r="N1600" s="74"/>
    </row>
    <row r="1601" spans="14:14" x14ac:dyDescent="0.25">
      <c r="N1601" s="74"/>
    </row>
    <row r="1602" spans="14:14" x14ac:dyDescent="0.25">
      <c r="N1602" s="74"/>
    </row>
    <row r="1603" spans="14:14" x14ac:dyDescent="0.25">
      <c r="N1603" s="74"/>
    </row>
    <row r="1604" spans="14:14" x14ac:dyDescent="0.25">
      <c r="N1604" s="74"/>
    </row>
    <row r="1605" spans="14:14" x14ac:dyDescent="0.25">
      <c r="N1605" s="74"/>
    </row>
    <row r="1606" spans="14:14" x14ac:dyDescent="0.25">
      <c r="N1606" s="74"/>
    </row>
    <row r="1607" spans="14:14" x14ac:dyDescent="0.25">
      <c r="N1607" s="74"/>
    </row>
    <row r="1608" spans="14:14" x14ac:dyDescent="0.25">
      <c r="N1608" s="74"/>
    </row>
    <row r="1609" spans="14:14" x14ac:dyDescent="0.25">
      <c r="N1609" s="74"/>
    </row>
    <row r="1610" spans="14:14" x14ac:dyDescent="0.25">
      <c r="N1610" s="74"/>
    </row>
    <row r="1611" spans="14:14" x14ac:dyDescent="0.25">
      <c r="N1611" s="74"/>
    </row>
    <row r="1612" spans="14:14" x14ac:dyDescent="0.25">
      <c r="N1612" s="74"/>
    </row>
    <row r="1613" spans="14:14" x14ac:dyDescent="0.25">
      <c r="N1613" s="74"/>
    </row>
    <row r="1614" spans="14:14" x14ac:dyDescent="0.25">
      <c r="N1614" s="74"/>
    </row>
    <row r="1615" spans="14:14" x14ac:dyDescent="0.25">
      <c r="N1615" s="74"/>
    </row>
    <row r="1616" spans="14:14" x14ac:dyDescent="0.25">
      <c r="N1616" s="74"/>
    </row>
    <row r="1617" spans="14:14" x14ac:dyDescent="0.25">
      <c r="N1617" s="74"/>
    </row>
    <row r="1618" spans="14:14" x14ac:dyDescent="0.25">
      <c r="N1618" s="74"/>
    </row>
    <row r="1619" spans="14:14" x14ac:dyDescent="0.25">
      <c r="N1619" s="74"/>
    </row>
    <row r="1620" spans="14:14" x14ac:dyDescent="0.25">
      <c r="N1620" s="74"/>
    </row>
    <row r="1621" spans="14:14" x14ac:dyDescent="0.25">
      <c r="N1621" s="74"/>
    </row>
    <row r="1622" spans="14:14" x14ac:dyDescent="0.25">
      <c r="N1622" s="74"/>
    </row>
    <row r="1623" spans="14:14" x14ac:dyDescent="0.25">
      <c r="N1623" s="74"/>
    </row>
    <row r="1624" spans="14:14" x14ac:dyDescent="0.25">
      <c r="N1624" s="74"/>
    </row>
    <row r="1625" spans="14:14" x14ac:dyDescent="0.25">
      <c r="N1625" s="74"/>
    </row>
    <row r="1626" spans="14:14" x14ac:dyDescent="0.25">
      <c r="N1626" s="74"/>
    </row>
    <row r="1627" spans="14:14" x14ac:dyDescent="0.25">
      <c r="N1627" s="74"/>
    </row>
    <row r="1628" spans="14:14" x14ac:dyDescent="0.25">
      <c r="N1628" s="74"/>
    </row>
    <row r="1629" spans="14:14" x14ac:dyDescent="0.25">
      <c r="N1629" s="74"/>
    </row>
    <row r="1630" spans="14:14" x14ac:dyDescent="0.25">
      <c r="N1630" s="74"/>
    </row>
    <row r="1631" spans="14:14" x14ac:dyDescent="0.25">
      <c r="N1631" s="74"/>
    </row>
    <row r="1632" spans="14:14" x14ac:dyDescent="0.25">
      <c r="N1632" s="74"/>
    </row>
    <row r="1633" spans="14:14" x14ac:dyDescent="0.25">
      <c r="N1633" s="74"/>
    </row>
    <row r="1634" spans="14:14" x14ac:dyDescent="0.25">
      <c r="N1634" s="74"/>
    </row>
    <row r="1635" spans="14:14" x14ac:dyDescent="0.25">
      <c r="N1635" s="74"/>
    </row>
    <row r="1636" spans="14:14" x14ac:dyDescent="0.25">
      <c r="N1636" s="74"/>
    </row>
    <row r="1637" spans="14:14" x14ac:dyDescent="0.25">
      <c r="N1637" s="74"/>
    </row>
    <row r="1638" spans="14:14" x14ac:dyDescent="0.25">
      <c r="N1638" s="74"/>
    </row>
    <row r="1639" spans="14:14" x14ac:dyDescent="0.25">
      <c r="N1639" s="74"/>
    </row>
    <row r="1640" spans="14:14" x14ac:dyDescent="0.25">
      <c r="N1640" s="74"/>
    </row>
    <row r="1641" spans="14:14" x14ac:dyDescent="0.25">
      <c r="N1641" s="74"/>
    </row>
    <row r="1642" spans="14:14" x14ac:dyDescent="0.25">
      <c r="N1642" s="74"/>
    </row>
    <row r="1643" spans="14:14" x14ac:dyDescent="0.25">
      <c r="N1643" s="74"/>
    </row>
    <row r="1644" spans="14:14" x14ac:dyDescent="0.25">
      <c r="N1644" s="74"/>
    </row>
    <row r="1645" spans="14:14" x14ac:dyDescent="0.25">
      <c r="N1645" s="74"/>
    </row>
    <row r="1646" spans="14:14" x14ac:dyDescent="0.25">
      <c r="N1646" s="74"/>
    </row>
    <row r="1647" spans="14:14" x14ac:dyDescent="0.25">
      <c r="N1647" s="74"/>
    </row>
    <row r="1648" spans="14:14" x14ac:dyDescent="0.25">
      <c r="N1648" s="74"/>
    </row>
    <row r="1649" spans="14:14" x14ac:dyDescent="0.25">
      <c r="N1649" s="74"/>
    </row>
    <row r="1650" spans="14:14" x14ac:dyDescent="0.25">
      <c r="N1650" s="74"/>
    </row>
    <row r="1651" spans="14:14" x14ac:dyDescent="0.25">
      <c r="N1651" s="74"/>
    </row>
    <row r="1652" spans="14:14" x14ac:dyDescent="0.25">
      <c r="N1652" s="74"/>
    </row>
    <row r="1653" spans="14:14" x14ac:dyDescent="0.25">
      <c r="N1653" s="74"/>
    </row>
    <row r="1654" spans="14:14" x14ac:dyDescent="0.25">
      <c r="N1654" s="74"/>
    </row>
    <row r="1655" spans="14:14" x14ac:dyDescent="0.25">
      <c r="N1655" s="74"/>
    </row>
    <row r="1656" spans="14:14" x14ac:dyDescent="0.25">
      <c r="N1656" s="74"/>
    </row>
    <row r="1657" spans="14:14" x14ac:dyDescent="0.25">
      <c r="N1657" s="74"/>
    </row>
    <row r="1658" spans="14:14" x14ac:dyDescent="0.25">
      <c r="N1658" s="74"/>
    </row>
    <row r="1659" spans="14:14" x14ac:dyDescent="0.25">
      <c r="N1659" s="74"/>
    </row>
    <row r="1660" spans="14:14" x14ac:dyDescent="0.25">
      <c r="N1660" s="74"/>
    </row>
    <row r="1661" spans="14:14" x14ac:dyDescent="0.25">
      <c r="N1661" s="74"/>
    </row>
    <row r="1662" spans="14:14" x14ac:dyDescent="0.25">
      <c r="N1662" s="74"/>
    </row>
    <row r="1663" spans="14:14" x14ac:dyDescent="0.25">
      <c r="N1663" s="74"/>
    </row>
    <row r="1664" spans="14:14" x14ac:dyDescent="0.25">
      <c r="N1664" s="74"/>
    </row>
    <row r="1665" spans="14:14" x14ac:dyDescent="0.25">
      <c r="N1665" s="74"/>
    </row>
    <row r="1666" spans="14:14" x14ac:dyDescent="0.25">
      <c r="N1666" s="74"/>
    </row>
    <row r="1667" spans="14:14" x14ac:dyDescent="0.25">
      <c r="N1667" s="74"/>
    </row>
    <row r="1668" spans="14:14" x14ac:dyDescent="0.25">
      <c r="N1668" s="74"/>
    </row>
    <row r="1669" spans="14:14" x14ac:dyDescent="0.25">
      <c r="N1669" s="74"/>
    </row>
    <row r="1670" spans="14:14" x14ac:dyDescent="0.25">
      <c r="N1670" s="74"/>
    </row>
    <row r="1671" spans="14:14" x14ac:dyDescent="0.25">
      <c r="N1671" s="74"/>
    </row>
    <row r="1672" spans="14:14" x14ac:dyDescent="0.25">
      <c r="N1672" s="74"/>
    </row>
    <row r="1673" spans="14:14" x14ac:dyDescent="0.25">
      <c r="N1673" s="74"/>
    </row>
    <row r="1674" spans="14:14" x14ac:dyDescent="0.25">
      <c r="N1674" s="74"/>
    </row>
    <row r="1675" spans="14:14" x14ac:dyDescent="0.25">
      <c r="N1675" s="74"/>
    </row>
    <row r="1676" spans="14:14" x14ac:dyDescent="0.25">
      <c r="N1676" s="74"/>
    </row>
    <row r="1677" spans="14:14" x14ac:dyDescent="0.25">
      <c r="N1677" s="74"/>
    </row>
    <row r="1678" spans="14:14" x14ac:dyDescent="0.25">
      <c r="N1678" s="74"/>
    </row>
    <row r="1679" spans="14:14" x14ac:dyDescent="0.25">
      <c r="N1679" s="74"/>
    </row>
    <row r="1680" spans="14:14" x14ac:dyDescent="0.25">
      <c r="N1680" s="74"/>
    </row>
    <row r="1681" spans="14:14" x14ac:dyDescent="0.25">
      <c r="N1681" s="74"/>
    </row>
    <row r="1682" spans="14:14" x14ac:dyDescent="0.25">
      <c r="N1682" s="74"/>
    </row>
    <row r="1683" spans="14:14" x14ac:dyDescent="0.25">
      <c r="N1683" s="74"/>
    </row>
    <row r="1684" spans="14:14" x14ac:dyDescent="0.25">
      <c r="N1684" s="74"/>
    </row>
    <row r="1685" spans="14:14" x14ac:dyDescent="0.25">
      <c r="N1685" s="74"/>
    </row>
    <row r="1686" spans="14:14" x14ac:dyDescent="0.25">
      <c r="N1686" s="74"/>
    </row>
    <row r="1687" spans="14:14" x14ac:dyDescent="0.25">
      <c r="N1687" s="74"/>
    </row>
    <row r="1688" spans="14:14" x14ac:dyDescent="0.25">
      <c r="N1688" s="74"/>
    </row>
    <row r="1689" spans="14:14" x14ac:dyDescent="0.25">
      <c r="N1689" s="74"/>
    </row>
    <row r="1690" spans="14:14" x14ac:dyDescent="0.25">
      <c r="N1690" s="74"/>
    </row>
    <row r="1691" spans="14:14" x14ac:dyDescent="0.25">
      <c r="N1691" s="74"/>
    </row>
    <row r="1692" spans="14:14" x14ac:dyDescent="0.25">
      <c r="N1692" s="74"/>
    </row>
    <row r="1693" spans="14:14" x14ac:dyDescent="0.25">
      <c r="N1693" s="74"/>
    </row>
    <row r="1694" spans="14:14" x14ac:dyDescent="0.25">
      <c r="N1694" s="74"/>
    </row>
    <row r="1695" spans="14:14" x14ac:dyDescent="0.25">
      <c r="N1695" s="74"/>
    </row>
    <row r="1696" spans="14:14" x14ac:dyDescent="0.25">
      <c r="N1696" s="74"/>
    </row>
    <row r="1697" spans="14:14" x14ac:dyDescent="0.25">
      <c r="N1697" s="74"/>
    </row>
    <row r="1698" spans="14:14" x14ac:dyDescent="0.25">
      <c r="N1698" s="74"/>
    </row>
    <row r="1699" spans="14:14" x14ac:dyDescent="0.25">
      <c r="N1699" s="74"/>
    </row>
    <row r="1700" spans="14:14" x14ac:dyDescent="0.25">
      <c r="N1700" s="74"/>
    </row>
    <row r="1701" spans="14:14" x14ac:dyDescent="0.25">
      <c r="N1701" s="74"/>
    </row>
    <row r="1702" spans="14:14" x14ac:dyDescent="0.25">
      <c r="N1702" s="74"/>
    </row>
    <row r="1703" spans="14:14" x14ac:dyDescent="0.25">
      <c r="N1703" s="74"/>
    </row>
    <row r="1704" spans="14:14" x14ac:dyDescent="0.25">
      <c r="N1704" s="74"/>
    </row>
    <row r="1705" spans="14:14" x14ac:dyDescent="0.25">
      <c r="N1705" s="74"/>
    </row>
    <row r="1706" spans="14:14" x14ac:dyDescent="0.25">
      <c r="N1706" s="74"/>
    </row>
    <row r="1707" spans="14:14" x14ac:dyDescent="0.25">
      <c r="N1707" s="74"/>
    </row>
    <row r="1708" spans="14:14" x14ac:dyDescent="0.25">
      <c r="N1708" s="74"/>
    </row>
    <row r="1709" spans="14:14" x14ac:dyDescent="0.25">
      <c r="N1709" s="74"/>
    </row>
    <row r="1710" spans="14:14" x14ac:dyDescent="0.25">
      <c r="N1710" s="74"/>
    </row>
    <row r="1711" spans="14:14" x14ac:dyDescent="0.25">
      <c r="N1711" s="74"/>
    </row>
    <row r="1712" spans="14:14" x14ac:dyDescent="0.25">
      <c r="N1712" s="74"/>
    </row>
    <row r="1713" spans="14:14" x14ac:dyDescent="0.25">
      <c r="N1713" s="74"/>
    </row>
    <row r="1714" spans="14:14" x14ac:dyDescent="0.25">
      <c r="N1714" s="74"/>
    </row>
    <row r="1715" spans="14:14" x14ac:dyDescent="0.25">
      <c r="N1715" s="74"/>
    </row>
    <row r="1716" spans="14:14" x14ac:dyDescent="0.25">
      <c r="N1716" s="74"/>
    </row>
    <row r="1717" spans="14:14" x14ac:dyDescent="0.25">
      <c r="N1717" s="74"/>
    </row>
    <row r="1718" spans="14:14" x14ac:dyDescent="0.25">
      <c r="N1718" s="74"/>
    </row>
    <row r="1719" spans="14:14" x14ac:dyDescent="0.25">
      <c r="N1719" s="74"/>
    </row>
    <row r="1720" spans="14:14" x14ac:dyDescent="0.25">
      <c r="N1720" s="74"/>
    </row>
    <row r="1721" spans="14:14" x14ac:dyDescent="0.25">
      <c r="N1721" s="74"/>
    </row>
    <row r="1722" spans="14:14" x14ac:dyDescent="0.25">
      <c r="N1722" s="74"/>
    </row>
    <row r="1723" spans="14:14" x14ac:dyDescent="0.25">
      <c r="N1723" s="74"/>
    </row>
    <row r="1724" spans="14:14" x14ac:dyDescent="0.25">
      <c r="N1724" s="74"/>
    </row>
    <row r="1725" spans="14:14" x14ac:dyDescent="0.25">
      <c r="N1725" s="74"/>
    </row>
    <row r="1726" spans="14:14" x14ac:dyDescent="0.25">
      <c r="N1726" s="74"/>
    </row>
    <row r="1727" spans="14:14" x14ac:dyDescent="0.25">
      <c r="N1727" s="74"/>
    </row>
    <row r="1728" spans="14:14" x14ac:dyDescent="0.25">
      <c r="N1728" s="74"/>
    </row>
    <row r="1729" spans="14:14" x14ac:dyDescent="0.25">
      <c r="N1729" s="74"/>
    </row>
    <row r="1730" spans="14:14" x14ac:dyDescent="0.25">
      <c r="N1730" s="74"/>
    </row>
    <row r="1731" spans="14:14" x14ac:dyDescent="0.25">
      <c r="N1731" s="74"/>
    </row>
    <row r="1732" spans="14:14" x14ac:dyDescent="0.25">
      <c r="N1732" s="74"/>
    </row>
    <row r="1733" spans="14:14" x14ac:dyDescent="0.25">
      <c r="N1733" s="74"/>
    </row>
    <row r="1734" spans="14:14" x14ac:dyDescent="0.25">
      <c r="N1734" s="74"/>
    </row>
    <row r="1735" spans="14:14" x14ac:dyDescent="0.25">
      <c r="N1735" s="74"/>
    </row>
    <row r="1736" spans="14:14" x14ac:dyDescent="0.25">
      <c r="N1736" s="74"/>
    </row>
    <row r="1737" spans="14:14" x14ac:dyDescent="0.25">
      <c r="N1737" s="74"/>
    </row>
    <row r="1738" spans="14:14" x14ac:dyDescent="0.25">
      <c r="N1738" s="74"/>
    </row>
    <row r="1739" spans="14:14" x14ac:dyDescent="0.25">
      <c r="N1739" s="74"/>
    </row>
    <row r="1740" spans="14:14" x14ac:dyDescent="0.25">
      <c r="N1740" s="74"/>
    </row>
    <row r="1741" spans="14:14" x14ac:dyDescent="0.25">
      <c r="N1741" s="74"/>
    </row>
    <row r="1742" spans="14:14" x14ac:dyDescent="0.25">
      <c r="N1742" s="74"/>
    </row>
    <row r="1743" spans="14:14" x14ac:dyDescent="0.25">
      <c r="N1743" s="74"/>
    </row>
    <row r="1744" spans="14:14" x14ac:dyDescent="0.25">
      <c r="N1744" s="74"/>
    </row>
    <row r="1745" spans="14:14" x14ac:dyDescent="0.25">
      <c r="N1745" s="74"/>
    </row>
    <row r="1746" spans="14:14" x14ac:dyDescent="0.25">
      <c r="N1746" s="74"/>
    </row>
    <row r="1747" spans="14:14" x14ac:dyDescent="0.25">
      <c r="N1747" s="74"/>
    </row>
    <row r="1748" spans="14:14" x14ac:dyDescent="0.25">
      <c r="N1748" s="74"/>
    </row>
    <row r="1749" spans="14:14" x14ac:dyDescent="0.25">
      <c r="N1749" s="74"/>
    </row>
    <row r="1750" spans="14:14" x14ac:dyDescent="0.25">
      <c r="N1750" s="74"/>
    </row>
    <row r="1751" spans="14:14" x14ac:dyDescent="0.25">
      <c r="N1751" s="74"/>
    </row>
    <row r="1752" spans="14:14" x14ac:dyDescent="0.25">
      <c r="N1752" s="74"/>
    </row>
    <row r="1753" spans="14:14" x14ac:dyDescent="0.25">
      <c r="N1753" s="74"/>
    </row>
    <row r="1754" spans="14:14" x14ac:dyDescent="0.25">
      <c r="N1754" s="74"/>
    </row>
    <row r="1755" spans="14:14" x14ac:dyDescent="0.25">
      <c r="N1755" s="74"/>
    </row>
    <row r="1756" spans="14:14" x14ac:dyDescent="0.25">
      <c r="N1756" s="74"/>
    </row>
    <row r="1757" spans="14:14" x14ac:dyDescent="0.25">
      <c r="N1757" s="74"/>
    </row>
    <row r="1758" spans="14:14" x14ac:dyDescent="0.25">
      <c r="N1758" s="74"/>
    </row>
    <row r="1759" spans="14:14" x14ac:dyDescent="0.25">
      <c r="N1759" s="74"/>
    </row>
    <row r="1760" spans="14:14" x14ac:dyDescent="0.25">
      <c r="N1760" s="74"/>
    </row>
    <row r="1761" spans="14:14" x14ac:dyDescent="0.25">
      <c r="N1761" s="74"/>
    </row>
    <row r="1762" spans="14:14" x14ac:dyDescent="0.25">
      <c r="N1762" s="74"/>
    </row>
    <row r="1763" spans="14:14" x14ac:dyDescent="0.25">
      <c r="N1763" s="74"/>
    </row>
    <row r="1764" spans="14:14" x14ac:dyDescent="0.25">
      <c r="N1764" s="74"/>
    </row>
    <row r="1765" spans="14:14" x14ac:dyDescent="0.25">
      <c r="N1765" s="74"/>
    </row>
    <row r="1766" spans="14:14" x14ac:dyDescent="0.25">
      <c r="N1766" s="74"/>
    </row>
    <row r="1767" spans="14:14" x14ac:dyDescent="0.25">
      <c r="N1767" s="74"/>
    </row>
    <row r="1768" spans="14:14" x14ac:dyDescent="0.25">
      <c r="N1768" s="74"/>
    </row>
    <row r="1769" spans="14:14" x14ac:dyDescent="0.25">
      <c r="N1769" s="74"/>
    </row>
    <row r="1770" spans="14:14" x14ac:dyDescent="0.25">
      <c r="N1770" s="74"/>
    </row>
    <row r="1771" spans="14:14" x14ac:dyDescent="0.25">
      <c r="N1771" s="74"/>
    </row>
    <row r="1772" spans="14:14" x14ac:dyDescent="0.25">
      <c r="N1772" s="74"/>
    </row>
    <row r="1773" spans="14:14" x14ac:dyDescent="0.25">
      <c r="N1773" s="74"/>
    </row>
    <row r="1774" spans="14:14" x14ac:dyDescent="0.25">
      <c r="N1774" s="74"/>
    </row>
    <row r="1775" spans="14:14" x14ac:dyDescent="0.25">
      <c r="N1775" s="74"/>
    </row>
    <row r="1776" spans="14:14" x14ac:dyDescent="0.25">
      <c r="N1776" s="74"/>
    </row>
    <row r="1777" spans="14:14" x14ac:dyDescent="0.25">
      <c r="N1777" s="74"/>
    </row>
    <row r="1778" spans="14:14" x14ac:dyDescent="0.25">
      <c r="N1778" s="74"/>
    </row>
    <row r="1779" spans="14:14" x14ac:dyDescent="0.25">
      <c r="N1779" s="74"/>
    </row>
    <row r="1780" spans="14:14" x14ac:dyDescent="0.25">
      <c r="N1780" s="74"/>
    </row>
    <row r="1781" spans="14:14" x14ac:dyDescent="0.25">
      <c r="N1781" s="74"/>
    </row>
    <row r="1782" spans="14:14" x14ac:dyDescent="0.25">
      <c r="N1782" s="74"/>
    </row>
    <row r="1783" spans="14:14" x14ac:dyDescent="0.25">
      <c r="N1783" s="74"/>
    </row>
    <row r="1784" spans="14:14" x14ac:dyDescent="0.25">
      <c r="N1784" s="74"/>
    </row>
    <row r="1785" spans="14:14" x14ac:dyDescent="0.25">
      <c r="N1785" s="74"/>
    </row>
    <row r="1786" spans="14:14" x14ac:dyDescent="0.25">
      <c r="N1786" s="74"/>
    </row>
    <row r="1787" spans="14:14" x14ac:dyDescent="0.25">
      <c r="N1787" s="74"/>
    </row>
    <row r="1788" spans="14:14" x14ac:dyDescent="0.25">
      <c r="N1788" s="74"/>
    </row>
    <row r="1789" spans="14:14" x14ac:dyDescent="0.25">
      <c r="N1789" s="74"/>
    </row>
    <row r="1790" spans="14:14" x14ac:dyDescent="0.25">
      <c r="N1790" s="74"/>
    </row>
    <row r="1791" spans="14:14" x14ac:dyDescent="0.25">
      <c r="N1791" s="74"/>
    </row>
    <row r="1792" spans="14:14" x14ac:dyDescent="0.25">
      <c r="N1792" s="74"/>
    </row>
    <row r="1793" spans="14:14" x14ac:dyDescent="0.25">
      <c r="N1793" s="74"/>
    </row>
    <row r="1794" spans="14:14" x14ac:dyDescent="0.25">
      <c r="N1794" s="74"/>
    </row>
    <row r="1795" spans="14:14" x14ac:dyDescent="0.25">
      <c r="N1795" s="74"/>
    </row>
    <row r="1796" spans="14:14" x14ac:dyDescent="0.25">
      <c r="N1796" s="74"/>
    </row>
    <row r="1797" spans="14:14" x14ac:dyDescent="0.25">
      <c r="N1797" s="74"/>
    </row>
    <row r="1798" spans="14:14" x14ac:dyDescent="0.25">
      <c r="N1798" s="74"/>
    </row>
    <row r="1799" spans="14:14" x14ac:dyDescent="0.25">
      <c r="N1799" s="74"/>
    </row>
    <row r="1800" spans="14:14" x14ac:dyDescent="0.25">
      <c r="N1800" s="74"/>
    </row>
    <row r="1801" spans="14:14" x14ac:dyDescent="0.25">
      <c r="N1801" s="74"/>
    </row>
    <row r="1802" spans="14:14" x14ac:dyDescent="0.25">
      <c r="N1802" s="74"/>
    </row>
    <row r="1803" spans="14:14" x14ac:dyDescent="0.25">
      <c r="N1803" s="74"/>
    </row>
    <row r="1804" spans="14:14" x14ac:dyDescent="0.25">
      <c r="N1804" s="74"/>
    </row>
    <row r="1805" spans="14:14" x14ac:dyDescent="0.25">
      <c r="N1805" s="74"/>
    </row>
    <row r="1806" spans="14:14" x14ac:dyDescent="0.25">
      <c r="N1806" s="74"/>
    </row>
    <row r="1807" spans="14:14" x14ac:dyDescent="0.25">
      <c r="N1807" s="74"/>
    </row>
    <row r="1808" spans="14:14" x14ac:dyDescent="0.25">
      <c r="N1808" s="74"/>
    </row>
    <row r="1809" spans="14:14" x14ac:dyDescent="0.25">
      <c r="N1809" s="74"/>
    </row>
    <row r="1810" spans="14:14" x14ac:dyDescent="0.25">
      <c r="N1810" s="74"/>
    </row>
    <row r="1811" spans="14:14" x14ac:dyDescent="0.25">
      <c r="N1811" s="74"/>
    </row>
    <row r="1812" spans="14:14" x14ac:dyDescent="0.25">
      <c r="N1812" s="74"/>
    </row>
    <row r="1813" spans="14:14" x14ac:dyDescent="0.25">
      <c r="N1813" s="74"/>
    </row>
    <row r="1814" spans="14:14" x14ac:dyDescent="0.25">
      <c r="N1814" s="74"/>
    </row>
    <row r="1815" spans="14:14" x14ac:dyDescent="0.25">
      <c r="N1815" s="74"/>
    </row>
    <row r="1816" spans="14:14" x14ac:dyDescent="0.25">
      <c r="N1816" s="74"/>
    </row>
    <row r="1817" spans="14:14" x14ac:dyDescent="0.25">
      <c r="N1817" s="74"/>
    </row>
    <row r="1818" spans="14:14" x14ac:dyDescent="0.25">
      <c r="N1818" s="74"/>
    </row>
    <row r="1819" spans="14:14" x14ac:dyDescent="0.25">
      <c r="N1819" s="74"/>
    </row>
    <row r="1820" spans="14:14" x14ac:dyDescent="0.25">
      <c r="N1820" s="74"/>
    </row>
    <row r="1821" spans="14:14" x14ac:dyDescent="0.25">
      <c r="N1821" s="74"/>
    </row>
    <row r="1822" spans="14:14" x14ac:dyDescent="0.25">
      <c r="N1822" s="74"/>
    </row>
    <row r="1823" spans="14:14" x14ac:dyDescent="0.25">
      <c r="N1823" s="74"/>
    </row>
    <row r="1824" spans="14:14" x14ac:dyDescent="0.25">
      <c r="N1824" s="74"/>
    </row>
    <row r="1825" spans="14:14" x14ac:dyDescent="0.25">
      <c r="N1825" s="74"/>
    </row>
    <row r="1826" spans="14:14" x14ac:dyDescent="0.25">
      <c r="N1826" s="74"/>
    </row>
    <row r="1827" spans="14:14" x14ac:dyDescent="0.25">
      <c r="N1827" s="74"/>
    </row>
    <row r="1828" spans="14:14" x14ac:dyDescent="0.25">
      <c r="N1828" s="74"/>
    </row>
    <row r="1829" spans="14:14" x14ac:dyDescent="0.25">
      <c r="N1829" s="74"/>
    </row>
    <row r="1830" spans="14:14" x14ac:dyDescent="0.25">
      <c r="N1830" s="74"/>
    </row>
    <row r="1831" spans="14:14" x14ac:dyDescent="0.25">
      <c r="N1831" s="74"/>
    </row>
    <row r="1832" spans="14:14" x14ac:dyDescent="0.25">
      <c r="N1832" s="74"/>
    </row>
    <row r="1833" spans="14:14" x14ac:dyDescent="0.25">
      <c r="N1833" s="74"/>
    </row>
    <row r="1834" spans="14:14" x14ac:dyDescent="0.25">
      <c r="N1834" s="74"/>
    </row>
    <row r="1835" spans="14:14" x14ac:dyDescent="0.25">
      <c r="N1835" s="74"/>
    </row>
    <row r="1836" spans="14:14" x14ac:dyDescent="0.25">
      <c r="N1836" s="74"/>
    </row>
    <row r="1837" spans="14:14" x14ac:dyDescent="0.25">
      <c r="N1837" s="74"/>
    </row>
    <row r="1838" spans="14:14" x14ac:dyDescent="0.25">
      <c r="N1838" s="74"/>
    </row>
    <row r="1839" spans="14:14" x14ac:dyDescent="0.25">
      <c r="N1839" s="74"/>
    </row>
    <row r="1840" spans="14:14" x14ac:dyDescent="0.25">
      <c r="N1840" s="74"/>
    </row>
    <row r="1841" spans="14:14" x14ac:dyDescent="0.25">
      <c r="N1841" s="74"/>
    </row>
    <row r="1842" spans="14:14" x14ac:dyDescent="0.25">
      <c r="N1842" s="74"/>
    </row>
    <row r="1843" spans="14:14" x14ac:dyDescent="0.25">
      <c r="N1843" s="74"/>
    </row>
    <row r="1844" spans="14:14" x14ac:dyDescent="0.25">
      <c r="N1844" s="74"/>
    </row>
    <row r="1845" spans="14:14" x14ac:dyDescent="0.25">
      <c r="N1845" s="74"/>
    </row>
    <row r="1846" spans="14:14" x14ac:dyDescent="0.25">
      <c r="N1846" s="74"/>
    </row>
    <row r="1847" spans="14:14" x14ac:dyDescent="0.25">
      <c r="N1847" s="74"/>
    </row>
    <row r="1848" spans="14:14" x14ac:dyDescent="0.25">
      <c r="N1848" s="74"/>
    </row>
    <row r="1849" spans="14:14" x14ac:dyDescent="0.25">
      <c r="N1849" s="74"/>
    </row>
    <row r="1850" spans="14:14" x14ac:dyDescent="0.25">
      <c r="N1850" s="74"/>
    </row>
    <row r="1851" spans="14:14" x14ac:dyDescent="0.25">
      <c r="N1851" s="74"/>
    </row>
    <row r="1852" spans="14:14" x14ac:dyDescent="0.25">
      <c r="N1852" s="74"/>
    </row>
    <row r="1853" spans="14:14" x14ac:dyDescent="0.25">
      <c r="N1853" s="74"/>
    </row>
    <row r="1854" spans="14:14" x14ac:dyDescent="0.25">
      <c r="N1854" s="74"/>
    </row>
    <row r="1855" spans="14:14" x14ac:dyDescent="0.25">
      <c r="N1855" s="74"/>
    </row>
    <row r="1856" spans="14:14" x14ac:dyDescent="0.25">
      <c r="N1856" s="74"/>
    </row>
    <row r="1857" spans="14:14" x14ac:dyDescent="0.25">
      <c r="N1857" s="74"/>
    </row>
    <row r="1858" spans="14:14" x14ac:dyDescent="0.25">
      <c r="N1858" s="74"/>
    </row>
    <row r="1859" spans="14:14" x14ac:dyDescent="0.25">
      <c r="N1859" s="74"/>
    </row>
    <row r="1860" spans="14:14" x14ac:dyDescent="0.25">
      <c r="N1860" s="74"/>
    </row>
    <row r="1861" spans="14:14" x14ac:dyDescent="0.25">
      <c r="N1861" s="74"/>
    </row>
    <row r="1862" spans="14:14" x14ac:dyDescent="0.25">
      <c r="N1862" s="74"/>
    </row>
    <row r="1863" spans="14:14" x14ac:dyDescent="0.25">
      <c r="N1863" s="74"/>
    </row>
    <row r="1864" spans="14:14" x14ac:dyDescent="0.25">
      <c r="N1864" s="74"/>
    </row>
    <row r="1865" spans="14:14" x14ac:dyDescent="0.25">
      <c r="N1865" s="74"/>
    </row>
    <row r="1866" spans="14:14" x14ac:dyDescent="0.25">
      <c r="N1866" s="74"/>
    </row>
    <row r="1867" spans="14:14" x14ac:dyDescent="0.25">
      <c r="N1867" s="74"/>
    </row>
    <row r="1868" spans="14:14" x14ac:dyDescent="0.25">
      <c r="N1868" s="74"/>
    </row>
    <row r="1869" spans="14:14" x14ac:dyDescent="0.25">
      <c r="N1869" s="74"/>
    </row>
    <row r="1870" spans="14:14" x14ac:dyDescent="0.25">
      <c r="N1870" s="74"/>
    </row>
    <row r="1871" spans="14:14" x14ac:dyDescent="0.25">
      <c r="N1871" s="74"/>
    </row>
    <row r="1872" spans="14:14" x14ac:dyDescent="0.25">
      <c r="N1872" s="74"/>
    </row>
    <row r="1873" spans="14:14" x14ac:dyDescent="0.25">
      <c r="N1873" s="74"/>
    </row>
    <row r="1874" spans="14:14" x14ac:dyDescent="0.25">
      <c r="N1874" s="74"/>
    </row>
    <row r="1875" spans="14:14" x14ac:dyDescent="0.25">
      <c r="N1875" s="74"/>
    </row>
    <row r="1876" spans="14:14" x14ac:dyDescent="0.25">
      <c r="N1876" s="74"/>
    </row>
    <row r="1877" spans="14:14" x14ac:dyDescent="0.25">
      <c r="N1877" s="74"/>
    </row>
    <row r="1878" spans="14:14" x14ac:dyDescent="0.25">
      <c r="N1878" s="74"/>
    </row>
    <row r="1879" spans="14:14" x14ac:dyDescent="0.25">
      <c r="N1879" s="74"/>
    </row>
    <row r="1880" spans="14:14" x14ac:dyDescent="0.25">
      <c r="N1880" s="74"/>
    </row>
    <row r="1881" spans="14:14" x14ac:dyDescent="0.25">
      <c r="N1881" s="74"/>
    </row>
    <row r="1882" spans="14:14" x14ac:dyDescent="0.25">
      <c r="N1882" s="74"/>
    </row>
    <row r="1883" spans="14:14" x14ac:dyDescent="0.25">
      <c r="N1883" s="74"/>
    </row>
    <row r="1884" spans="14:14" x14ac:dyDescent="0.25">
      <c r="N1884" s="74"/>
    </row>
    <row r="1885" spans="14:14" x14ac:dyDescent="0.25">
      <c r="N1885" s="74"/>
    </row>
    <row r="1886" spans="14:14" x14ac:dyDescent="0.25">
      <c r="N1886" s="74"/>
    </row>
    <row r="1887" spans="14:14" x14ac:dyDescent="0.25">
      <c r="N1887" s="74"/>
    </row>
    <row r="1888" spans="14:14" x14ac:dyDescent="0.25">
      <c r="N1888" s="74"/>
    </row>
    <row r="1889" spans="14:14" x14ac:dyDescent="0.25">
      <c r="N1889" s="74"/>
    </row>
    <row r="1890" spans="14:14" x14ac:dyDescent="0.25">
      <c r="N1890" s="74"/>
    </row>
    <row r="1891" spans="14:14" x14ac:dyDescent="0.25">
      <c r="N1891" s="74"/>
    </row>
    <row r="1892" spans="14:14" x14ac:dyDescent="0.25">
      <c r="N1892" s="74"/>
    </row>
    <row r="1893" spans="14:14" x14ac:dyDescent="0.25">
      <c r="N1893" s="74"/>
    </row>
    <row r="1894" spans="14:14" x14ac:dyDescent="0.25">
      <c r="N1894" s="74"/>
    </row>
    <row r="1895" spans="14:14" x14ac:dyDescent="0.25">
      <c r="N1895" s="74"/>
    </row>
    <row r="1896" spans="14:14" x14ac:dyDescent="0.25">
      <c r="N1896" s="74"/>
    </row>
    <row r="1897" spans="14:14" x14ac:dyDescent="0.25">
      <c r="N1897" s="74"/>
    </row>
    <row r="1898" spans="14:14" x14ac:dyDescent="0.25">
      <c r="N1898" s="74"/>
    </row>
    <row r="1899" spans="14:14" x14ac:dyDescent="0.25">
      <c r="N1899" s="74"/>
    </row>
    <row r="1900" spans="14:14" x14ac:dyDescent="0.25">
      <c r="N1900" s="74"/>
    </row>
    <row r="1901" spans="14:14" x14ac:dyDescent="0.25">
      <c r="N1901" s="74"/>
    </row>
    <row r="1902" spans="14:14" x14ac:dyDescent="0.25">
      <c r="N1902" s="74"/>
    </row>
    <row r="1903" spans="14:14" x14ac:dyDescent="0.25">
      <c r="N1903" s="74"/>
    </row>
    <row r="1904" spans="14:14" x14ac:dyDescent="0.25">
      <c r="N1904" s="74"/>
    </row>
    <row r="1905" spans="14:14" x14ac:dyDescent="0.25">
      <c r="N1905" s="74"/>
    </row>
    <row r="1906" spans="14:14" x14ac:dyDescent="0.25">
      <c r="N1906" s="74"/>
    </row>
    <row r="1907" spans="14:14" x14ac:dyDescent="0.25">
      <c r="N1907" s="74"/>
    </row>
    <row r="1908" spans="14:14" x14ac:dyDescent="0.25">
      <c r="N1908" s="74"/>
    </row>
    <row r="1909" spans="14:14" x14ac:dyDescent="0.25">
      <c r="N1909" s="74"/>
    </row>
    <row r="1910" spans="14:14" x14ac:dyDescent="0.25">
      <c r="N1910" s="74"/>
    </row>
    <row r="1911" spans="14:14" x14ac:dyDescent="0.25">
      <c r="N1911" s="74"/>
    </row>
    <row r="1912" spans="14:14" x14ac:dyDescent="0.25">
      <c r="N1912" s="74"/>
    </row>
    <row r="1913" spans="14:14" x14ac:dyDescent="0.25">
      <c r="N1913" s="74"/>
    </row>
    <row r="1914" spans="14:14" x14ac:dyDescent="0.25">
      <c r="N1914" s="74"/>
    </row>
    <row r="1915" spans="14:14" x14ac:dyDescent="0.25">
      <c r="N1915" s="74"/>
    </row>
    <row r="1916" spans="14:14" x14ac:dyDescent="0.25">
      <c r="N1916" s="74"/>
    </row>
    <row r="1917" spans="14:14" x14ac:dyDescent="0.25">
      <c r="N1917" s="74"/>
    </row>
    <row r="1918" spans="14:14" x14ac:dyDescent="0.25">
      <c r="N1918" s="74"/>
    </row>
    <row r="1919" spans="14:14" x14ac:dyDescent="0.25">
      <c r="N1919" s="74"/>
    </row>
    <row r="1920" spans="14:14" x14ac:dyDescent="0.25">
      <c r="N1920" s="74"/>
    </row>
    <row r="1921" spans="14:14" x14ac:dyDescent="0.25">
      <c r="N1921" s="74"/>
    </row>
    <row r="1922" spans="14:14" x14ac:dyDescent="0.25">
      <c r="N1922" s="74"/>
    </row>
    <row r="1923" spans="14:14" x14ac:dyDescent="0.25">
      <c r="N1923" s="74"/>
    </row>
    <row r="1924" spans="14:14" x14ac:dyDescent="0.25">
      <c r="N1924" s="74"/>
    </row>
    <row r="1925" spans="14:14" x14ac:dyDescent="0.25">
      <c r="N1925" s="74"/>
    </row>
    <row r="1926" spans="14:14" x14ac:dyDescent="0.25">
      <c r="N1926" s="74"/>
    </row>
    <row r="1927" spans="14:14" x14ac:dyDescent="0.25">
      <c r="N1927" s="74"/>
    </row>
    <row r="1928" spans="14:14" x14ac:dyDescent="0.25">
      <c r="N1928" s="74"/>
    </row>
  </sheetData>
  <mergeCells count="1">
    <mergeCell ref="H3:K3"/>
  </mergeCells>
  <pageMargins left="0.7" right="0.7" top="0.75" bottom="0.75" header="0.3" footer="0.3"/>
  <pageSetup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F22" sqref="F22"/>
    </sheetView>
  </sheetViews>
  <sheetFormatPr defaultRowHeight="12.75" x14ac:dyDescent="0.2"/>
  <cols>
    <col min="1" max="2" width="2.7109375" style="292" customWidth="1"/>
    <col min="3" max="3" width="19.28515625" style="469" bestFit="1" customWidth="1"/>
    <col min="4" max="4" width="3.7109375" style="292" customWidth="1"/>
    <col min="5" max="5" width="8.42578125" style="292" bestFit="1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698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657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5.75" customHeight="1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671</v>
      </c>
      <c r="I4" s="656"/>
      <c r="J4" s="656"/>
      <c r="K4" s="656"/>
      <c r="L4" s="656"/>
      <c r="M4" s="656"/>
      <c r="N4" s="656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424</v>
      </c>
      <c r="D9" s="575">
        <v>1</v>
      </c>
      <c r="E9" s="476">
        <f>'Site Work'!M40</f>
        <v>15.510999999999999</v>
      </c>
      <c r="F9" s="263" t="s">
        <v>425</v>
      </c>
      <c r="G9" s="434">
        <v>16.27</v>
      </c>
      <c r="H9" s="435">
        <f>G9*E9</f>
        <v>252.36396999999999</v>
      </c>
      <c r="I9" s="436" t="s">
        <v>427</v>
      </c>
      <c r="J9" s="263">
        <v>180</v>
      </c>
      <c r="K9" s="263">
        <f>E9/J9</f>
        <v>8.617222222222222E-2</v>
      </c>
      <c r="L9" s="263">
        <f>8*K9</f>
        <v>0.68937777777777776</v>
      </c>
      <c r="M9" s="263" t="s">
        <v>400</v>
      </c>
      <c r="N9" s="437">
        <v>1</v>
      </c>
      <c r="O9" s="434">
        <v>17.55</v>
      </c>
      <c r="P9" s="438">
        <f>O9*L9</f>
        <v>12.09858</v>
      </c>
      <c r="Q9" s="439"/>
      <c r="R9" s="434"/>
      <c r="S9" s="435"/>
      <c r="T9" s="477">
        <f>S9+P9+H9</f>
        <v>264.46255000000002</v>
      </c>
      <c r="U9" s="436">
        <f>T9/E9</f>
        <v>17.05</v>
      </c>
      <c r="V9" s="441" t="str">
        <f>F9</f>
        <v>SY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/>
      <c r="I10" s="436"/>
      <c r="J10" s="263"/>
      <c r="K10" s="263"/>
      <c r="L10" s="263"/>
      <c r="M10" s="442"/>
      <c r="N10" s="443"/>
      <c r="O10" s="434"/>
      <c r="P10" s="438"/>
      <c r="Q10" s="439"/>
      <c r="R10" s="434"/>
      <c r="S10" s="435"/>
      <c r="T10" s="478"/>
      <c r="U10" s="436"/>
      <c r="V10" s="441"/>
    </row>
    <row r="11" spans="1:24" x14ac:dyDescent="0.2">
      <c r="A11" s="444"/>
      <c r="B11" s="281"/>
      <c r="C11" s="432" t="s">
        <v>428</v>
      </c>
      <c r="D11" s="263"/>
      <c r="E11" s="263">
        <v>514</v>
      </c>
      <c r="F11" s="263" t="s">
        <v>195</v>
      </c>
      <c r="G11" s="434">
        <v>9.89</v>
      </c>
      <c r="H11" s="435">
        <f>G11*E11</f>
        <v>5083.46</v>
      </c>
      <c r="I11" s="436" t="s">
        <v>429</v>
      </c>
      <c r="J11" s="263">
        <v>2500</v>
      </c>
      <c r="K11" s="263">
        <f>E11/J11</f>
        <v>0.2056</v>
      </c>
      <c r="L11" s="263">
        <f>8*K11</f>
        <v>1.6448</v>
      </c>
      <c r="M11" s="263" t="s">
        <v>400</v>
      </c>
      <c r="N11" s="437">
        <v>2</v>
      </c>
      <c r="O11" s="434">
        <v>17.55</v>
      </c>
      <c r="P11" s="438">
        <f>O13*L11</f>
        <v>85.990144000000001</v>
      </c>
      <c r="Q11" s="439" t="s">
        <v>431</v>
      </c>
      <c r="R11" s="434">
        <v>211</v>
      </c>
      <c r="S11" s="435">
        <f>R11*K11</f>
        <v>43.381599999999999</v>
      </c>
      <c r="T11" s="478">
        <f>S11+P11+H11</f>
        <v>5212.8317440000001</v>
      </c>
      <c r="U11" s="436">
        <f>T11/E11</f>
        <v>10.141696</v>
      </c>
      <c r="V11" s="441" t="str">
        <f>F11</f>
        <v>lf</v>
      </c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 t="s">
        <v>430</v>
      </c>
      <c r="N12" s="437">
        <v>1</v>
      </c>
      <c r="O12" s="434">
        <v>17.18</v>
      </c>
      <c r="P12" s="438"/>
      <c r="Q12" s="439"/>
      <c r="R12" s="434"/>
      <c r="S12" s="435"/>
      <c r="T12" s="478"/>
      <c r="U12" s="436"/>
      <c r="V12" s="441"/>
    </row>
    <row r="13" spans="1:24" ht="15" x14ac:dyDescent="0.25">
      <c r="A13" s="431"/>
      <c r="B13" s="281"/>
      <c r="C13" s="432" t="s">
        <v>354</v>
      </c>
      <c r="D13" s="575">
        <v>1</v>
      </c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>
        <f>O11*N11+O12</f>
        <v>52.28</v>
      </c>
      <c r="P13" s="438"/>
      <c r="Q13" s="439"/>
      <c r="R13" s="434"/>
      <c r="S13" s="435"/>
      <c r="T13" s="478"/>
      <c r="U13" s="436"/>
      <c r="V13" s="441"/>
    </row>
    <row r="14" spans="1:24" x14ac:dyDescent="0.2">
      <c r="A14" s="444"/>
      <c r="B14" s="281"/>
      <c r="C14" s="432" t="s">
        <v>355</v>
      </c>
      <c r="D14" s="263"/>
      <c r="E14" s="263">
        <f>'Site Work'!M44</f>
        <v>77</v>
      </c>
      <c r="F14" s="263" t="s">
        <v>195</v>
      </c>
      <c r="G14" s="434">
        <v>4.07</v>
      </c>
      <c r="H14" s="435">
        <f>G14*E14</f>
        <v>313.39000000000004</v>
      </c>
      <c r="I14" s="436" t="s">
        <v>432</v>
      </c>
      <c r="J14" s="263">
        <v>375</v>
      </c>
      <c r="K14" s="263">
        <f>E14/J14</f>
        <v>0.20533333333333334</v>
      </c>
      <c r="L14" s="263">
        <f>8*K14</f>
        <v>1.6426666666666667</v>
      </c>
      <c r="M14" s="263" t="s">
        <v>399</v>
      </c>
      <c r="N14" s="437">
        <v>2</v>
      </c>
      <c r="O14" s="434">
        <v>41.25</v>
      </c>
      <c r="P14" s="438">
        <f>O16*L14</f>
        <v>164.34880000000001</v>
      </c>
      <c r="Q14" s="439"/>
      <c r="R14" s="434"/>
      <c r="S14" s="435"/>
      <c r="T14" s="478">
        <f>S14+P14+H14</f>
        <v>477.73880000000008</v>
      </c>
      <c r="U14" s="436">
        <f>T14/E14</f>
        <v>6.2044000000000015</v>
      </c>
      <c r="V14" s="441" t="str">
        <f>F14</f>
        <v>lf</v>
      </c>
    </row>
    <row r="15" spans="1:24" x14ac:dyDescent="0.2">
      <c r="A15" s="431"/>
      <c r="B15" s="281"/>
      <c r="C15" s="432"/>
      <c r="D15" s="263"/>
      <c r="E15" s="263"/>
      <c r="F15" s="263"/>
      <c r="G15" s="434"/>
      <c r="H15" s="435"/>
      <c r="I15" s="436"/>
      <c r="J15" s="263"/>
      <c r="K15" s="263"/>
      <c r="L15" s="263"/>
      <c r="M15" s="263" t="s">
        <v>400</v>
      </c>
      <c r="N15" s="437">
        <v>1</v>
      </c>
      <c r="O15" s="434">
        <v>17.55</v>
      </c>
      <c r="P15" s="438"/>
      <c r="Q15" s="439"/>
      <c r="R15" s="434"/>
      <c r="S15" s="435"/>
      <c r="T15" s="478"/>
      <c r="U15" s="436"/>
      <c r="V15" s="441"/>
    </row>
    <row r="16" spans="1:24" x14ac:dyDescent="0.2">
      <c r="A16" s="431"/>
      <c r="B16" s="281"/>
      <c r="C16" s="432"/>
      <c r="D16" s="263"/>
      <c r="E16" s="263"/>
      <c r="F16" s="263"/>
      <c r="G16" s="434"/>
      <c r="H16" s="435"/>
      <c r="I16" s="436"/>
      <c r="J16" s="263"/>
      <c r="K16" s="263"/>
      <c r="L16" s="263"/>
      <c r="M16" s="263"/>
      <c r="N16" s="437"/>
      <c r="O16" s="434">
        <f>O14*N14+O15</f>
        <v>100.05</v>
      </c>
      <c r="P16" s="438"/>
      <c r="Q16" s="439"/>
      <c r="R16" s="434"/>
      <c r="S16" s="435"/>
      <c r="T16" s="478"/>
      <c r="U16" s="436"/>
      <c r="V16" s="441"/>
    </row>
    <row r="17" spans="1:22" x14ac:dyDescent="0.2">
      <c r="A17" s="444"/>
      <c r="B17" s="281"/>
      <c r="C17" s="43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432" t="s">
        <v>356</v>
      </c>
      <c r="D18" s="263"/>
      <c r="E18" s="263">
        <f>'Site Work'!M45</f>
        <v>113</v>
      </c>
      <c r="F18" s="263" t="s">
        <v>195</v>
      </c>
      <c r="G18" s="434">
        <v>8.41</v>
      </c>
      <c r="H18" s="435">
        <f>G18*E18</f>
        <v>950.33</v>
      </c>
      <c r="I18" s="436" t="s">
        <v>432</v>
      </c>
      <c r="J18" s="263">
        <v>350</v>
      </c>
      <c r="K18" s="263">
        <f>E18/J18</f>
        <v>0.32285714285714284</v>
      </c>
      <c r="L18" s="263">
        <f>8*K18</f>
        <v>2.5828571428571427</v>
      </c>
      <c r="M18" s="263" t="s">
        <v>399</v>
      </c>
      <c r="N18" s="437">
        <v>2</v>
      </c>
      <c r="O18" s="434">
        <v>41.25</v>
      </c>
      <c r="P18" s="438">
        <f>O20*L18</f>
        <v>258.4148571428571</v>
      </c>
      <c r="Q18" s="439"/>
      <c r="R18" s="434"/>
      <c r="S18" s="435"/>
      <c r="T18" s="478">
        <f>S18+P18+H18</f>
        <v>1208.7448571428572</v>
      </c>
      <c r="U18" s="436">
        <f>T18/E18</f>
        <v>10.696857142857143</v>
      </c>
      <c r="V18" s="441" t="str">
        <f>F18</f>
        <v>lf</v>
      </c>
    </row>
    <row r="19" spans="1:22" x14ac:dyDescent="0.2">
      <c r="A19" s="431"/>
      <c r="B19" s="281"/>
      <c r="C19" s="432"/>
      <c r="D19" s="263"/>
      <c r="E19" s="263"/>
      <c r="F19" s="263"/>
      <c r="G19" s="434"/>
      <c r="H19" s="435"/>
      <c r="I19" s="436"/>
      <c r="J19" s="263"/>
      <c r="K19" s="263"/>
      <c r="L19" s="263"/>
      <c r="M19" s="263" t="s">
        <v>400</v>
      </c>
      <c r="N19" s="437">
        <v>1</v>
      </c>
      <c r="O19" s="434">
        <v>17.55</v>
      </c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43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>
        <f>O18*N18+O19</f>
        <v>100.05</v>
      </c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43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432" t="s">
        <v>357</v>
      </c>
      <c r="D22" s="263"/>
      <c r="E22" s="263">
        <f>'Site Work'!M46</f>
        <v>4</v>
      </c>
      <c r="F22" s="263" t="s">
        <v>433</v>
      </c>
      <c r="G22" s="434">
        <v>46.77</v>
      </c>
      <c r="H22" s="435">
        <f>G22*E22</f>
        <v>187.08</v>
      </c>
      <c r="I22" s="436" t="s">
        <v>432</v>
      </c>
      <c r="J22" s="263">
        <v>100</v>
      </c>
      <c r="K22" s="263">
        <f>E22/J22</f>
        <v>0.04</v>
      </c>
      <c r="L22" s="263">
        <f>8*K22</f>
        <v>0.32</v>
      </c>
      <c r="M22" s="263" t="s">
        <v>399</v>
      </c>
      <c r="N22" s="437">
        <v>2</v>
      </c>
      <c r="O22" s="434">
        <v>41.25</v>
      </c>
      <c r="P22" s="438">
        <f>O24*L22</f>
        <v>32.015999999999998</v>
      </c>
      <c r="Q22" s="439"/>
      <c r="R22" s="434"/>
      <c r="S22" s="435"/>
      <c r="T22" s="478">
        <f>S22+P22+H22</f>
        <v>219.096</v>
      </c>
      <c r="U22" s="436">
        <f>T22/E22</f>
        <v>54.774000000000001</v>
      </c>
      <c r="V22" s="441" t="str">
        <f>F22</f>
        <v>ea</v>
      </c>
    </row>
    <row r="23" spans="1:22" x14ac:dyDescent="0.2">
      <c r="A23" s="431"/>
      <c r="B23" s="281"/>
      <c r="C23" s="432"/>
      <c r="D23" s="263"/>
      <c r="E23" s="263"/>
      <c r="F23" s="263"/>
      <c r="G23" s="434"/>
      <c r="H23" s="435"/>
      <c r="I23" s="436"/>
      <c r="J23" s="263"/>
      <c r="K23" s="263"/>
      <c r="L23" s="263"/>
      <c r="M23" s="263" t="s">
        <v>400</v>
      </c>
      <c r="N23" s="437">
        <v>1</v>
      </c>
      <c r="O23" s="434">
        <v>17.55</v>
      </c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43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>
        <f>O22*N22+O23</f>
        <v>100.05</v>
      </c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43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432" t="s">
        <v>358</v>
      </c>
      <c r="D26" s="263"/>
      <c r="E26" s="263">
        <f>'Site Work'!M47</f>
        <v>7</v>
      </c>
      <c r="F26" s="263" t="s">
        <v>433</v>
      </c>
      <c r="G26" s="434">
        <v>249.75</v>
      </c>
      <c r="H26" s="435">
        <f>G26*E26</f>
        <v>1748.25</v>
      </c>
      <c r="I26" s="436" t="s">
        <v>432</v>
      </c>
      <c r="J26" s="263">
        <v>20</v>
      </c>
      <c r="K26" s="263">
        <f>E26/J26</f>
        <v>0.35</v>
      </c>
      <c r="L26" s="263">
        <f>8*K26</f>
        <v>2.8</v>
      </c>
      <c r="M26" s="263" t="s">
        <v>399</v>
      </c>
      <c r="N26" s="437">
        <v>2</v>
      </c>
      <c r="O26" s="434">
        <v>41.25</v>
      </c>
      <c r="P26" s="438">
        <f>O28*L26</f>
        <v>280.14</v>
      </c>
      <c r="Q26" s="439"/>
      <c r="R26" s="434"/>
      <c r="S26" s="435"/>
      <c r="T26" s="478">
        <f>S26+P26+H26</f>
        <v>2028.3899999999999</v>
      </c>
      <c r="U26" s="436">
        <f>T26/E26</f>
        <v>289.77</v>
      </c>
      <c r="V26" s="441" t="str">
        <f>F26</f>
        <v>ea</v>
      </c>
    </row>
    <row r="27" spans="1:22" x14ac:dyDescent="0.2">
      <c r="A27" s="431"/>
      <c r="B27" s="281"/>
      <c r="C27" s="432"/>
      <c r="D27" s="263"/>
      <c r="E27" s="263"/>
      <c r="F27" s="263"/>
      <c r="G27" s="434"/>
      <c r="H27" s="435"/>
      <c r="I27" s="436"/>
      <c r="J27" s="263"/>
      <c r="K27" s="263"/>
      <c r="L27" s="263"/>
      <c r="M27" s="263" t="s">
        <v>400</v>
      </c>
      <c r="N27" s="437">
        <v>1</v>
      </c>
      <c r="O27" s="434">
        <v>17.55</v>
      </c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43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>
        <f>O26*N26+O27</f>
        <v>100.05</v>
      </c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43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432" t="s">
        <v>434</v>
      </c>
      <c r="D30" s="263"/>
      <c r="E30" s="263">
        <f>'Site Work'!M48</f>
        <v>2</v>
      </c>
      <c r="F30" s="263" t="s">
        <v>433</v>
      </c>
      <c r="G30" s="434">
        <v>251.25</v>
      </c>
      <c r="H30" s="435">
        <f>G30*E30</f>
        <v>502.5</v>
      </c>
      <c r="I30" s="436" t="s">
        <v>435</v>
      </c>
      <c r="J30" s="263">
        <v>1.33</v>
      </c>
      <c r="K30" s="263">
        <f>E30/J30</f>
        <v>1.5037593984962405</v>
      </c>
      <c r="L30" s="263">
        <f>8*K30</f>
        <v>12.030075187969924</v>
      </c>
      <c r="M30" s="263" t="s">
        <v>436</v>
      </c>
      <c r="N30" s="437">
        <v>1</v>
      </c>
      <c r="O30" s="434">
        <v>27.3</v>
      </c>
      <c r="P30" s="438">
        <f>O30*L30</f>
        <v>328.42105263157896</v>
      </c>
      <c r="Q30" s="439"/>
      <c r="R30" s="434"/>
      <c r="S30" s="435"/>
      <c r="T30" s="478">
        <f>S30+P30+H30</f>
        <v>830.92105263157896</v>
      </c>
      <c r="U30" s="436">
        <f>T30/E30</f>
        <v>415.46052631578948</v>
      </c>
      <c r="V30" s="441" t="str">
        <f>F30</f>
        <v>ea</v>
      </c>
    </row>
    <row r="31" spans="1:22" x14ac:dyDescent="0.2">
      <c r="A31" s="431"/>
      <c r="B31" s="281"/>
      <c r="C31" s="43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432" t="s">
        <v>437</v>
      </c>
      <c r="D32" s="263"/>
      <c r="E32" s="263">
        <v>1</v>
      </c>
      <c r="F32" s="263" t="s">
        <v>433</v>
      </c>
      <c r="G32" s="434">
        <v>2977.98</v>
      </c>
      <c r="H32" s="435">
        <f>G32*E32</f>
        <v>2977.98</v>
      </c>
      <c r="I32" s="436" t="s">
        <v>439</v>
      </c>
      <c r="J32" s="263">
        <v>2.67</v>
      </c>
      <c r="K32" s="263">
        <f>E32/J32</f>
        <v>0.37453183520599254</v>
      </c>
      <c r="L32" s="263">
        <f>8*K32</f>
        <v>2.9962546816479403</v>
      </c>
      <c r="M32" s="263" t="s">
        <v>436</v>
      </c>
      <c r="N32" s="437">
        <v>1</v>
      </c>
      <c r="O32" s="434">
        <v>27.3</v>
      </c>
      <c r="P32" s="438">
        <f>O32*L32</f>
        <v>81.797752808988776</v>
      </c>
      <c r="Q32" s="439"/>
      <c r="R32" s="434"/>
      <c r="S32" s="435"/>
      <c r="T32" s="478">
        <f>S32+P32+H32</f>
        <v>3059.7777528089887</v>
      </c>
      <c r="U32" s="436">
        <f>T32/E32</f>
        <v>3059.7777528089887</v>
      </c>
      <c r="V32" s="441" t="str">
        <f>F32</f>
        <v>ea</v>
      </c>
    </row>
    <row r="33" spans="1:22" x14ac:dyDescent="0.2">
      <c r="A33" s="431"/>
      <c r="B33" s="281"/>
      <c r="C33" s="43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432" t="s">
        <v>438</v>
      </c>
      <c r="D34" s="263"/>
      <c r="E34" s="263">
        <f>'Site Work'!M50</f>
        <v>5</v>
      </c>
      <c r="F34" s="263" t="s">
        <v>433</v>
      </c>
      <c r="G34" s="434">
        <v>22.39</v>
      </c>
      <c r="H34" s="435">
        <f>G34*E34</f>
        <v>111.95</v>
      </c>
      <c r="I34" s="436" t="s">
        <v>439</v>
      </c>
      <c r="J34" s="263">
        <v>20</v>
      </c>
      <c r="K34" s="263">
        <f>E34/J34</f>
        <v>0.25</v>
      </c>
      <c r="L34" s="263">
        <f>8*K34</f>
        <v>2</v>
      </c>
      <c r="M34" s="263" t="s">
        <v>436</v>
      </c>
      <c r="N34" s="437">
        <v>1</v>
      </c>
      <c r="O34" s="434">
        <v>27.3</v>
      </c>
      <c r="P34" s="438">
        <f>O34*L34</f>
        <v>54.6</v>
      </c>
      <c r="Q34" s="439"/>
      <c r="R34" s="434"/>
      <c r="S34" s="435"/>
      <c r="T34" s="478">
        <f>S34+P34+H34</f>
        <v>166.55</v>
      </c>
      <c r="U34" s="436">
        <f>T34/E34</f>
        <v>33.31</v>
      </c>
      <c r="V34" s="441" t="str">
        <f>F34</f>
        <v>ea</v>
      </c>
    </row>
    <row r="35" spans="1:22" x14ac:dyDescent="0.2">
      <c r="A35" s="431"/>
      <c r="B35" s="281"/>
      <c r="C35" s="43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432" t="s">
        <v>440</v>
      </c>
      <c r="D36" s="263"/>
      <c r="E36" s="263">
        <f>'Site Work'!M51</f>
        <v>2</v>
      </c>
      <c r="F36" s="263" t="s">
        <v>433</v>
      </c>
      <c r="G36" s="434">
        <v>8333.33</v>
      </c>
      <c r="H36" s="435">
        <f>G36*E36</f>
        <v>16666.66</v>
      </c>
      <c r="I36" s="436" t="s">
        <v>439</v>
      </c>
      <c r="J36" s="263">
        <v>2</v>
      </c>
      <c r="K36" s="263">
        <f>E36/J36</f>
        <v>1</v>
      </c>
      <c r="L36" s="263">
        <f>8*K36</f>
        <v>8</v>
      </c>
      <c r="M36" s="263" t="s">
        <v>436</v>
      </c>
      <c r="N36" s="437">
        <v>1</v>
      </c>
      <c r="O36" s="434">
        <v>27.3</v>
      </c>
      <c r="P36" s="438">
        <f>O36*L36</f>
        <v>218.4</v>
      </c>
      <c r="Q36" s="439"/>
      <c r="R36" s="434"/>
      <c r="S36" s="435"/>
      <c r="T36" s="478">
        <f>S36+P36+H36</f>
        <v>16885.060000000001</v>
      </c>
      <c r="U36" s="436">
        <f>T36/E36</f>
        <v>8442.5300000000007</v>
      </c>
      <c r="V36" s="441" t="str">
        <f>F36</f>
        <v>ea</v>
      </c>
    </row>
    <row r="37" spans="1:22" x14ac:dyDescent="0.2">
      <c r="A37" s="431"/>
      <c r="B37" s="281"/>
      <c r="C37" s="43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ht="15" x14ac:dyDescent="0.25">
      <c r="A38" s="431"/>
      <c r="B38" s="281"/>
      <c r="C38" s="432" t="s">
        <v>441</v>
      </c>
      <c r="D38" s="575">
        <v>1</v>
      </c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>
        <v>10000</v>
      </c>
      <c r="U38" s="436"/>
      <c r="V38" s="441"/>
    </row>
    <row r="39" spans="1:22" x14ac:dyDescent="0.2">
      <c r="A39" s="431"/>
      <c r="B39" s="281"/>
      <c r="C39" s="43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43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44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SUM(H8:H41)</f>
        <v>28793.963970000001</v>
      </c>
      <c r="I42" s="462"/>
      <c r="J42" s="463"/>
      <c r="K42" s="461">
        <f>SUM(K8:K41)</f>
        <v>4.3382539321149309</v>
      </c>
      <c r="L42" s="461">
        <f>SUM(L8:L41)</f>
        <v>34.706031456919447</v>
      </c>
      <c r="M42" s="462"/>
      <c r="N42" s="464"/>
      <c r="O42" s="463"/>
      <c r="P42" s="461">
        <f>SUM(P8:P41)</f>
        <v>1516.2271865834246</v>
      </c>
      <c r="Q42" s="462"/>
      <c r="R42" s="463"/>
      <c r="S42" s="465">
        <f>SUM(S8:S41)</f>
        <v>43.381599999999999</v>
      </c>
      <c r="T42" s="461">
        <f>SUM(T8:T41)+'SW price'!T44</f>
        <v>134493.55691490046</v>
      </c>
      <c r="U42" s="467" t="s">
        <v>397</v>
      </c>
      <c r="V42" s="468"/>
    </row>
    <row r="43" spans="1:22" x14ac:dyDescent="0.2">
      <c r="N43" s="470"/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N3"/>
    <mergeCell ref="H4:N4"/>
  </mergeCells>
  <hyperlinks>
    <hyperlink ref="D9" location="'Site Work'!A1" display="'Site Work'!A1"/>
    <hyperlink ref="D13" location="'Site Work'!A1" display="'Site Work'!A1"/>
    <hyperlink ref="D38" location="'Site Work'!A1" display="'Site Work'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R57"/>
  <sheetViews>
    <sheetView tabSelected="1" zoomScale="70" zoomScaleNormal="70" workbookViewId="0">
      <pane xSplit="14" ySplit="6" topLeftCell="O10" activePane="bottomRight" state="frozen"/>
      <selection pane="topRight" activeCell="O1" sqref="O1"/>
      <selection pane="bottomLeft" activeCell="A7" sqref="A7"/>
      <selection pane="bottomRight" activeCell="A34" sqref="A34:C34"/>
    </sheetView>
  </sheetViews>
  <sheetFormatPr defaultRowHeight="12.75" x14ac:dyDescent="0.2"/>
  <cols>
    <col min="1" max="3" width="9.140625" style="301"/>
    <col min="4" max="8" width="9.140625" style="292"/>
    <col min="9" max="9" width="7.7109375" style="292" bestFit="1" customWidth="1"/>
    <col min="10" max="10" width="3.5703125" style="292" bestFit="1" customWidth="1"/>
    <col min="11" max="11" width="9.140625" style="292"/>
    <col min="12" max="12" width="3.5703125" style="292" bestFit="1" customWidth="1"/>
    <col min="13" max="13" width="17" style="292" bestFit="1" customWidth="1"/>
    <col min="14" max="14" width="3.5703125" style="292" bestFit="1" customWidth="1"/>
    <col min="15" max="16384" width="9.140625" style="292"/>
  </cols>
  <sheetData>
    <row r="1" spans="1:18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699</v>
      </c>
      <c r="M1" s="620"/>
      <c r="N1" s="287"/>
      <c r="O1" s="302"/>
    </row>
    <row r="2" spans="1:18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8" x14ac:dyDescent="0.2">
      <c r="A3" s="303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</row>
    <row r="4" spans="1:18" x14ac:dyDescent="0.2">
      <c r="A4" s="710" t="s">
        <v>18</v>
      </c>
      <c r="B4" s="710"/>
      <c r="C4" s="710"/>
      <c r="D4" s="711" t="s">
        <v>1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</row>
    <row r="5" spans="1:18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402" t="s">
        <v>4</v>
      </c>
      <c r="P5" s="313"/>
      <c r="Q5" s="314"/>
      <c r="R5" s="315"/>
    </row>
    <row r="6" spans="1:18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20" t="s">
        <v>15</v>
      </c>
      <c r="P6" s="722" t="s">
        <v>40</v>
      </c>
      <c r="Q6" s="723"/>
      <c r="R6" s="724"/>
    </row>
    <row r="7" spans="1:18" x14ac:dyDescent="0.2">
      <c r="A7" s="593"/>
      <c r="B7" s="594"/>
      <c r="C7" s="595"/>
      <c r="D7" s="322"/>
      <c r="E7" s="323"/>
      <c r="F7" s="324"/>
      <c r="G7" s="325"/>
      <c r="H7" s="326"/>
      <c r="I7" s="323"/>
      <c r="J7" s="326"/>
      <c r="K7" s="323"/>
      <c r="L7" s="326"/>
      <c r="M7" s="323"/>
      <c r="N7" s="326"/>
      <c r="O7" s="322"/>
      <c r="P7" s="719"/>
      <c r="Q7" s="720"/>
      <c r="R7" s="721"/>
    </row>
    <row r="8" spans="1:18" ht="15" x14ac:dyDescent="0.25">
      <c r="A8" s="694" t="s">
        <v>41</v>
      </c>
      <c r="B8" s="695"/>
      <c r="C8" s="696"/>
      <c r="D8" s="564" t="s">
        <v>84</v>
      </c>
      <c r="E8" s="330">
        <v>1</v>
      </c>
      <c r="F8" s="331">
        <v>1</v>
      </c>
      <c r="G8" s="332">
        <v>0.33</v>
      </c>
      <c r="H8" s="333">
        <v>1</v>
      </c>
      <c r="I8" s="330">
        <v>10141</v>
      </c>
      <c r="J8" s="24" t="s">
        <v>42</v>
      </c>
      <c r="K8" s="330">
        <f>E8*F8*G8*H8*I8</f>
        <v>3346.53</v>
      </c>
      <c r="L8" s="333" t="s">
        <v>42</v>
      </c>
      <c r="M8" s="345">
        <f>K8/27</f>
        <v>123.94555555555556</v>
      </c>
      <c r="N8" s="333" t="s">
        <v>16</v>
      </c>
      <c r="O8" s="338"/>
      <c r="P8" s="719"/>
      <c r="Q8" s="720"/>
      <c r="R8" s="721"/>
    </row>
    <row r="9" spans="1:18" x14ac:dyDescent="0.2">
      <c r="A9" s="668" t="s">
        <v>43</v>
      </c>
      <c r="B9" s="669"/>
      <c r="C9" s="670"/>
      <c r="D9" s="22"/>
      <c r="E9" s="330">
        <v>1</v>
      </c>
      <c r="F9" s="331">
        <v>1</v>
      </c>
      <c r="G9" s="332">
        <v>0.5</v>
      </c>
      <c r="H9" s="333">
        <v>1</v>
      </c>
      <c r="I9" s="330">
        <v>22</v>
      </c>
      <c r="J9" s="333" t="s">
        <v>42</v>
      </c>
      <c r="K9" s="330">
        <f>E9*F9*G9*H9*I9</f>
        <v>11</v>
      </c>
      <c r="L9" s="333"/>
      <c r="M9" s="345">
        <f>K9/27</f>
        <v>0.40740740740740738</v>
      </c>
      <c r="N9" s="333" t="s">
        <v>16</v>
      </c>
      <c r="O9" s="338"/>
      <c r="P9" s="719"/>
      <c r="Q9" s="720"/>
      <c r="R9" s="721"/>
    </row>
    <row r="10" spans="1:18" x14ac:dyDescent="0.2">
      <c r="A10" s="668" t="s">
        <v>44</v>
      </c>
      <c r="B10" s="669"/>
      <c r="C10" s="670"/>
      <c r="D10" s="338"/>
      <c r="E10" s="330">
        <v>1</v>
      </c>
      <c r="F10" s="331">
        <v>1</v>
      </c>
      <c r="G10" s="332">
        <v>0.67</v>
      </c>
      <c r="H10" s="333">
        <v>1</v>
      </c>
      <c r="I10" s="330">
        <v>290</v>
      </c>
      <c r="J10" s="333" t="s">
        <v>42</v>
      </c>
      <c r="K10" s="330">
        <f>E10*F10*G10*H10*I10</f>
        <v>194.3</v>
      </c>
      <c r="L10" s="333"/>
      <c r="M10" s="345">
        <f>K10/27</f>
        <v>7.1962962962962971</v>
      </c>
      <c r="N10" s="333" t="s">
        <v>16</v>
      </c>
      <c r="O10" s="338"/>
      <c r="P10" s="719"/>
      <c r="Q10" s="720"/>
      <c r="R10" s="721"/>
    </row>
    <row r="11" spans="1:18" x14ac:dyDescent="0.2">
      <c r="A11" s="668" t="s">
        <v>24</v>
      </c>
      <c r="B11" s="669"/>
      <c r="C11" s="670"/>
      <c r="D11" s="338"/>
      <c r="E11" s="330">
        <v>1</v>
      </c>
      <c r="F11" s="331">
        <v>1</v>
      </c>
      <c r="G11" s="332">
        <v>0.5</v>
      </c>
      <c r="H11" s="333">
        <v>1</v>
      </c>
      <c r="I11" s="330">
        <v>450</v>
      </c>
      <c r="J11" s="333" t="s">
        <v>45</v>
      </c>
      <c r="K11" s="330">
        <f>E11*F11*G11*H11*I11</f>
        <v>225</v>
      </c>
      <c r="L11" s="333"/>
      <c r="M11" s="345">
        <f>K11/27</f>
        <v>8.3333333333333339</v>
      </c>
      <c r="N11" s="333" t="s">
        <v>16</v>
      </c>
      <c r="O11" s="338"/>
      <c r="P11" s="719"/>
      <c r="Q11" s="720"/>
      <c r="R11" s="721"/>
    </row>
    <row r="12" spans="1:18" ht="15" x14ac:dyDescent="0.25">
      <c r="A12" s="668"/>
      <c r="B12" s="669"/>
      <c r="C12" s="670"/>
      <c r="D12" s="338"/>
      <c r="E12" s="330"/>
      <c r="F12" s="331"/>
      <c r="G12" s="332"/>
      <c r="H12" s="333"/>
      <c r="I12" s="330"/>
      <c r="J12" s="333"/>
      <c r="K12" s="330"/>
      <c r="L12" s="24"/>
      <c r="M12" s="480">
        <f>SUM(M8:M11)</f>
        <v>139.8825925925926</v>
      </c>
      <c r="N12" s="481" t="s">
        <v>16</v>
      </c>
      <c r="O12" s="564" t="s">
        <v>745</v>
      </c>
      <c r="P12" s="719"/>
      <c r="Q12" s="720"/>
      <c r="R12" s="721"/>
    </row>
    <row r="13" spans="1:18" x14ac:dyDescent="0.2">
      <c r="A13" s="668"/>
      <c r="B13" s="669"/>
      <c r="C13" s="670"/>
      <c r="D13" s="338"/>
      <c r="E13" s="330"/>
      <c r="F13" s="331"/>
      <c r="G13" s="332"/>
      <c r="H13" s="333"/>
      <c r="I13" s="330"/>
      <c r="J13" s="333"/>
      <c r="K13" s="330"/>
      <c r="L13" s="333"/>
      <c r="M13" s="482"/>
      <c r="N13" s="33"/>
      <c r="O13" s="22"/>
      <c r="P13" s="719"/>
      <c r="Q13" s="720"/>
      <c r="R13" s="721"/>
    </row>
    <row r="14" spans="1:18" x14ac:dyDescent="0.2">
      <c r="A14" s="609"/>
      <c r="B14" s="610"/>
      <c r="C14" s="611"/>
      <c r="D14" s="338"/>
      <c r="E14" s="330"/>
      <c r="F14" s="331"/>
      <c r="G14" s="332"/>
      <c r="H14" s="333"/>
      <c r="I14" s="330"/>
      <c r="J14" s="333"/>
      <c r="K14" s="330"/>
      <c r="L14" s="333"/>
      <c r="M14" s="482"/>
      <c r="N14" s="344"/>
      <c r="O14" s="338"/>
      <c r="P14" s="719"/>
      <c r="Q14" s="720"/>
      <c r="R14" s="721"/>
    </row>
    <row r="15" spans="1:18" ht="15" x14ac:dyDescent="0.25">
      <c r="A15" s="694" t="s">
        <v>47</v>
      </c>
      <c r="B15" s="695"/>
      <c r="C15" s="696"/>
      <c r="D15" s="564" t="s">
        <v>62</v>
      </c>
      <c r="E15" s="330"/>
      <c r="F15" s="331"/>
      <c r="G15" s="332"/>
      <c r="H15" s="333"/>
      <c r="I15" s="330"/>
      <c r="J15" s="333"/>
      <c r="K15" s="483"/>
      <c r="L15" s="24"/>
      <c r="M15" s="482"/>
      <c r="N15" s="344"/>
      <c r="O15" s="338"/>
      <c r="P15" s="719"/>
      <c r="Q15" s="720"/>
      <c r="R15" s="721"/>
    </row>
    <row r="16" spans="1:18" x14ac:dyDescent="0.2">
      <c r="A16" s="668" t="s">
        <v>48</v>
      </c>
      <c r="B16" s="669"/>
      <c r="C16" s="670"/>
      <c r="D16" s="22"/>
      <c r="E16" s="330">
        <v>1</v>
      </c>
      <c r="F16" s="331">
        <v>2</v>
      </c>
      <c r="G16" s="484">
        <f>16/12</f>
        <v>1.3333333333333333</v>
      </c>
      <c r="H16" s="333">
        <v>1</v>
      </c>
      <c r="I16" s="330">
        <v>162</v>
      </c>
      <c r="J16" s="333" t="s">
        <v>45</v>
      </c>
      <c r="K16" s="330">
        <f>E16*F16*G16*H16*I16</f>
        <v>432</v>
      </c>
      <c r="L16" s="333" t="s">
        <v>42</v>
      </c>
      <c r="M16" s="482">
        <f>K16/27</f>
        <v>16</v>
      </c>
      <c r="N16" s="344" t="s">
        <v>16</v>
      </c>
      <c r="O16" s="338"/>
      <c r="P16" s="719"/>
      <c r="Q16" s="720"/>
      <c r="R16" s="721"/>
    </row>
    <row r="17" spans="1:18" x14ac:dyDescent="0.2">
      <c r="A17" s="668" t="s">
        <v>49</v>
      </c>
      <c r="B17" s="669"/>
      <c r="C17" s="670"/>
      <c r="D17" s="338"/>
      <c r="E17" s="330">
        <v>1</v>
      </c>
      <c r="F17" s="331">
        <v>4</v>
      </c>
      <c r="G17" s="484">
        <f t="shared" ref="G17:G22" si="0">16/12</f>
        <v>1.3333333333333333</v>
      </c>
      <c r="H17" s="333">
        <v>1</v>
      </c>
      <c r="I17" s="485">
        <v>123</v>
      </c>
      <c r="J17" s="333" t="s">
        <v>45</v>
      </c>
      <c r="K17" s="330">
        <f t="shared" ref="K17:K22" si="1">E17*F17*G17*H17*I17</f>
        <v>656</v>
      </c>
      <c r="L17" s="333" t="s">
        <v>42</v>
      </c>
      <c r="M17" s="482">
        <f t="shared" ref="M17:M22" si="2">K17/27</f>
        <v>24.296296296296298</v>
      </c>
      <c r="N17" s="344" t="s">
        <v>16</v>
      </c>
      <c r="O17" s="338"/>
      <c r="P17" s="719"/>
      <c r="Q17" s="720"/>
      <c r="R17" s="721"/>
    </row>
    <row r="18" spans="1:18" x14ac:dyDescent="0.2">
      <c r="A18" s="668" t="s">
        <v>50</v>
      </c>
      <c r="B18" s="669"/>
      <c r="C18" s="670"/>
      <c r="D18" s="338"/>
      <c r="E18" s="330">
        <v>1</v>
      </c>
      <c r="F18" s="331">
        <v>4.75</v>
      </c>
      <c r="G18" s="484">
        <f t="shared" si="0"/>
        <v>1.3333333333333333</v>
      </c>
      <c r="H18" s="333">
        <v>1</v>
      </c>
      <c r="I18" s="330">
        <v>161</v>
      </c>
      <c r="J18" s="333" t="s">
        <v>45</v>
      </c>
      <c r="K18" s="345">
        <f t="shared" si="1"/>
        <v>1019.6666666666666</v>
      </c>
      <c r="L18" s="333" t="s">
        <v>42</v>
      </c>
      <c r="M18" s="482">
        <f t="shared" si="2"/>
        <v>37.76543209876543</v>
      </c>
      <c r="N18" s="344" t="s">
        <v>16</v>
      </c>
      <c r="O18" s="338"/>
      <c r="P18" s="719"/>
      <c r="Q18" s="720"/>
      <c r="R18" s="721"/>
    </row>
    <row r="19" spans="1:18" x14ac:dyDescent="0.2">
      <c r="A19" s="668" t="s">
        <v>51</v>
      </c>
      <c r="B19" s="669"/>
      <c r="C19" s="670"/>
      <c r="D19" s="338"/>
      <c r="E19" s="330">
        <v>1</v>
      </c>
      <c r="F19" s="331">
        <v>5.5</v>
      </c>
      <c r="G19" s="484">
        <f t="shared" si="0"/>
        <v>1.3333333333333333</v>
      </c>
      <c r="H19" s="333">
        <v>1</v>
      </c>
      <c r="I19" s="330">
        <v>61</v>
      </c>
      <c r="J19" s="333" t="s">
        <v>45</v>
      </c>
      <c r="K19" s="345">
        <f t="shared" si="1"/>
        <v>447.33333333333331</v>
      </c>
      <c r="L19" s="333" t="s">
        <v>42</v>
      </c>
      <c r="M19" s="482">
        <f t="shared" si="2"/>
        <v>16.567901234567902</v>
      </c>
      <c r="N19" s="344" t="s">
        <v>16</v>
      </c>
      <c r="O19" s="338"/>
      <c r="P19" s="719"/>
      <c r="Q19" s="720"/>
      <c r="R19" s="721"/>
    </row>
    <row r="20" spans="1:18" x14ac:dyDescent="0.2">
      <c r="A20" s="668" t="s">
        <v>52</v>
      </c>
      <c r="B20" s="669"/>
      <c r="C20" s="670"/>
      <c r="D20" s="338"/>
      <c r="E20" s="330">
        <v>1</v>
      </c>
      <c r="F20" s="331">
        <v>7</v>
      </c>
      <c r="G20" s="484">
        <f t="shared" si="0"/>
        <v>1.3333333333333333</v>
      </c>
      <c r="H20" s="333">
        <v>1</v>
      </c>
      <c r="I20" s="330">
        <v>60</v>
      </c>
      <c r="J20" s="333" t="s">
        <v>45</v>
      </c>
      <c r="K20" s="330">
        <f t="shared" si="1"/>
        <v>559.99999999999989</v>
      </c>
      <c r="L20" s="333" t="s">
        <v>42</v>
      </c>
      <c r="M20" s="482">
        <f t="shared" si="2"/>
        <v>20.740740740740737</v>
      </c>
      <c r="N20" s="344" t="s">
        <v>16</v>
      </c>
      <c r="O20" s="338"/>
      <c r="P20" s="719"/>
      <c r="Q20" s="720"/>
      <c r="R20" s="721"/>
    </row>
    <row r="21" spans="1:18" x14ac:dyDescent="0.2">
      <c r="A21" s="668" t="s">
        <v>53</v>
      </c>
      <c r="B21" s="669"/>
      <c r="C21" s="670"/>
      <c r="D21" s="338"/>
      <c r="E21" s="330">
        <v>1</v>
      </c>
      <c r="F21" s="331">
        <v>9</v>
      </c>
      <c r="G21" s="484">
        <f t="shared" si="0"/>
        <v>1.3333333333333333</v>
      </c>
      <c r="H21" s="333">
        <v>1</v>
      </c>
      <c r="I21" s="330">
        <v>104</v>
      </c>
      <c r="J21" s="333" t="s">
        <v>45</v>
      </c>
      <c r="K21" s="330">
        <f t="shared" si="1"/>
        <v>1248</v>
      </c>
      <c r="L21" s="333" t="s">
        <v>42</v>
      </c>
      <c r="M21" s="482">
        <f t="shared" si="2"/>
        <v>46.222222222222221</v>
      </c>
      <c r="N21" s="344" t="s">
        <v>16</v>
      </c>
      <c r="O21" s="338"/>
      <c r="P21" s="719"/>
      <c r="Q21" s="720"/>
      <c r="R21" s="721"/>
    </row>
    <row r="22" spans="1:18" x14ac:dyDescent="0.2">
      <c r="A22" s="668" t="s">
        <v>54</v>
      </c>
      <c r="B22" s="669"/>
      <c r="C22" s="670"/>
      <c r="D22" s="338"/>
      <c r="E22" s="330">
        <v>1</v>
      </c>
      <c r="F22" s="331">
        <v>10</v>
      </c>
      <c r="G22" s="484">
        <f t="shared" si="0"/>
        <v>1.3333333333333333</v>
      </c>
      <c r="H22" s="333">
        <v>1</v>
      </c>
      <c r="I22" s="485">
        <v>54</v>
      </c>
      <c r="J22" s="333" t="s">
        <v>45</v>
      </c>
      <c r="K22" s="330">
        <f t="shared" si="1"/>
        <v>719.99999999999989</v>
      </c>
      <c r="L22" s="333" t="s">
        <v>42</v>
      </c>
      <c r="M22" s="482">
        <f t="shared" si="2"/>
        <v>26.666666666666661</v>
      </c>
      <c r="N22" s="344" t="s">
        <v>16</v>
      </c>
      <c r="O22" s="338"/>
      <c r="P22" s="719"/>
      <c r="Q22" s="720"/>
      <c r="R22" s="721"/>
    </row>
    <row r="23" spans="1:18" ht="15" x14ac:dyDescent="0.25">
      <c r="A23" s="716" t="s">
        <v>14</v>
      </c>
      <c r="B23" s="701"/>
      <c r="C23" s="702"/>
      <c r="D23" s="338"/>
      <c r="E23" s="330"/>
      <c r="F23" s="331"/>
      <c r="G23" s="332"/>
      <c r="H23" s="333"/>
      <c r="I23" s="485">
        <f>SUM(I16:I22)</f>
        <v>725</v>
      </c>
      <c r="J23" s="333" t="s">
        <v>45</v>
      </c>
      <c r="K23" s="330"/>
      <c r="L23" s="333"/>
      <c r="M23" s="480">
        <f>SUM(M16:M22)</f>
        <v>188.25925925925924</v>
      </c>
      <c r="N23" s="481" t="s">
        <v>16</v>
      </c>
      <c r="O23" s="564" t="s">
        <v>745</v>
      </c>
      <c r="P23" s="486"/>
      <c r="Q23" s="361"/>
      <c r="R23" s="487"/>
    </row>
    <row r="24" spans="1:18" x14ac:dyDescent="0.2">
      <c r="A24" s="690"/>
      <c r="B24" s="669"/>
      <c r="C24" s="791"/>
      <c r="D24" s="582"/>
      <c r="E24" s="330"/>
      <c r="F24" s="331"/>
      <c r="G24" s="332"/>
      <c r="H24" s="333"/>
      <c r="I24" s="330"/>
      <c r="J24" s="333"/>
      <c r="K24" s="330"/>
      <c r="L24" s="333"/>
      <c r="M24" s="482"/>
      <c r="N24" s="344"/>
      <c r="O24" s="338"/>
      <c r="P24" s="719"/>
      <c r="Q24" s="720"/>
      <c r="R24" s="721"/>
    </row>
    <row r="25" spans="1:18" ht="15" x14ac:dyDescent="0.25">
      <c r="A25" s="703" t="s">
        <v>25</v>
      </c>
      <c r="B25" s="695"/>
      <c r="C25" s="792"/>
      <c r="D25" s="565" t="s">
        <v>62</v>
      </c>
      <c r="E25" s="330"/>
      <c r="F25" s="331"/>
      <c r="G25" s="332"/>
      <c r="H25" s="333"/>
      <c r="I25" s="330"/>
      <c r="J25" s="333"/>
      <c r="K25" s="330"/>
      <c r="L25" s="333"/>
      <c r="M25" s="482"/>
      <c r="N25" s="344"/>
      <c r="O25" s="338"/>
      <c r="P25" s="719"/>
      <c r="Q25" s="720"/>
      <c r="R25" s="721"/>
    </row>
    <row r="26" spans="1:18" x14ac:dyDescent="0.2">
      <c r="A26" s="690" t="s">
        <v>26</v>
      </c>
      <c r="B26" s="669"/>
      <c r="C26" s="791"/>
      <c r="D26" s="582"/>
      <c r="E26" s="330">
        <v>1</v>
      </c>
      <c r="F26" s="488">
        <f>7.25/12</f>
        <v>0.60416666666666663</v>
      </c>
      <c r="G26" s="484">
        <v>4</v>
      </c>
      <c r="H26" s="333">
        <v>1</v>
      </c>
      <c r="I26" s="330">
        <v>46</v>
      </c>
      <c r="J26" s="333" t="s">
        <v>45</v>
      </c>
      <c r="K26" s="330">
        <f>E26*F26*G26*H26*I26</f>
        <v>111.16666666666666</v>
      </c>
      <c r="L26" s="333"/>
      <c r="M26" s="482">
        <f>K26/27</f>
        <v>4.117283950617284</v>
      </c>
      <c r="N26" s="344" t="s">
        <v>16</v>
      </c>
      <c r="O26" s="338"/>
      <c r="P26" s="719"/>
      <c r="Q26" s="720"/>
      <c r="R26" s="721"/>
    </row>
    <row r="27" spans="1:18" x14ac:dyDescent="0.2">
      <c r="A27" s="690" t="s">
        <v>27</v>
      </c>
      <c r="B27" s="669"/>
      <c r="C27" s="791"/>
      <c r="D27" s="582"/>
      <c r="E27" s="330">
        <v>1</v>
      </c>
      <c r="F27" s="488">
        <f>10.875/12</f>
        <v>0.90625</v>
      </c>
      <c r="G27" s="484">
        <v>5.0830000000000002</v>
      </c>
      <c r="H27" s="333">
        <v>1</v>
      </c>
      <c r="I27" s="330">
        <v>57</v>
      </c>
      <c r="J27" s="333" t="s">
        <v>45</v>
      </c>
      <c r="K27" s="330">
        <f t="shared" ref="K27:K35" si="3">E27*F27*G27*H27*I27</f>
        <v>262.56871875000002</v>
      </c>
      <c r="L27" s="333"/>
      <c r="M27" s="482">
        <f t="shared" ref="M27:M35" si="4">K27/27</f>
        <v>9.7247673611111125</v>
      </c>
      <c r="N27" s="344" t="s">
        <v>16</v>
      </c>
      <c r="O27" s="338"/>
      <c r="P27" s="719"/>
      <c r="Q27" s="720"/>
      <c r="R27" s="721"/>
    </row>
    <row r="28" spans="1:18" x14ac:dyDescent="0.2">
      <c r="A28" s="690" t="s">
        <v>28</v>
      </c>
      <c r="B28" s="669"/>
      <c r="C28" s="791"/>
      <c r="D28" s="582"/>
      <c r="E28" s="330">
        <v>1</v>
      </c>
      <c r="F28" s="488">
        <v>0.8</v>
      </c>
      <c r="G28" s="484">
        <v>4</v>
      </c>
      <c r="H28" s="333">
        <v>1</v>
      </c>
      <c r="I28" s="330">
        <v>73</v>
      </c>
      <c r="J28" s="333" t="s">
        <v>45</v>
      </c>
      <c r="K28" s="330">
        <f t="shared" si="3"/>
        <v>233.60000000000002</v>
      </c>
      <c r="L28" s="333"/>
      <c r="M28" s="482">
        <f t="shared" si="4"/>
        <v>8.6518518518518519</v>
      </c>
      <c r="N28" s="344" t="s">
        <v>16</v>
      </c>
      <c r="O28" s="338"/>
      <c r="P28" s="719"/>
      <c r="Q28" s="720"/>
      <c r="R28" s="721"/>
    </row>
    <row r="29" spans="1:18" x14ac:dyDescent="0.2">
      <c r="A29" s="690" t="s">
        <v>55</v>
      </c>
      <c r="B29" s="669"/>
      <c r="C29" s="791"/>
      <c r="D29" s="582"/>
      <c r="E29" s="330">
        <v>1</v>
      </c>
      <c r="F29" s="488">
        <f>7.625/12</f>
        <v>0.63541666666666663</v>
      </c>
      <c r="G29" s="484">
        <v>3.4159999999999999</v>
      </c>
      <c r="H29" s="333">
        <v>1</v>
      </c>
      <c r="I29" s="330">
        <v>38</v>
      </c>
      <c r="J29" s="333" t="s">
        <v>45</v>
      </c>
      <c r="K29" s="330">
        <f t="shared" si="3"/>
        <v>82.482166666666657</v>
      </c>
      <c r="L29" s="333"/>
      <c r="M29" s="482">
        <f t="shared" si="4"/>
        <v>3.0548950617283945</v>
      </c>
      <c r="N29" s="344" t="s">
        <v>16</v>
      </c>
      <c r="O29" s="338"/>
      <c r="P29" s="719"/>
      <c r="Q29" s="720"/>
      <c r="R29" s="721"/>
    </row>
    <row r="30" spans="1:18" x14ac:dyDescent="0.2">
      <c r="A30" s="609" t="s">
        <v>29</v>
      </c>
      <c r="B30" s="610"/>
      <c r="C30" s="611"/>
      <c r="D30" s="338"/>
      <c r="E30" s="330">
        <v>1</v>
      </c>
      <c r="F30" s="488">
        <f>8/12</f>
        <v>0.66666666666666663</v>
      </c>
      <c r="G30" s="484">
        <v>4</v>
      </c>
      <c r="H30" s="333">
        <v>1</v>
      </c>
      <c r="I30" s="330">
        <v>69</v>
      </c>
      <c r="J30" s="333" t="s">
        <v>45</v>
      </c>
      <c r="K30" s="330">
        <f t="shared" si="3"/>
        <v>184</v>
      </c>
      <c r="L30" s="333"/>
      <c r="M30" s="482">
        <f t="shared" si="4"/>
        <v>6.8148148148148149</v>
      </c>
      <c r="N30" s="344" t="s">
        <v>16</v>
      </c>
      <c r="O30" s="338"/>
      <c r="P30" s="719"/>
      <c r="Q30" s="720"/>
      <c r="R30" s="721"/>
    </row>
    <row r="31" spans="1:18" x14ac:dyDescent="0.2">
      <c r="A31" s="668" t="s">
        <v>30</v>
      </c>
      <c r="B31" s="669"/>
      <c r="C31" s="670"/>
      <c r="D31" s="22"/>
      <c r="E31" s="330">
        <v>1</v>
      </c>
      <c r="F31" s="488">
        <f>10.875/12</f>
        <v>0.90625</v>
      </c>
      <c r="G31" s="484">
        <v>3.4159999999999999</v>
      </c>
      <c r="H31" s="333">
        <v>1</v>
      </c>
      <c r="I31" s="330">
        <v>45</v>
      </c>
      <c r="J31" s="333" t="s">
        <v>45</v>
      </c>
      <c r="K31" s="330">
        <f t="shared" si="3"/>
        <v>139.30875</v>
      </c>
      <c r="L31" s="333"/>
      <c r="M31" s="482">
        <f t="shared" si="4"/>
        <v>5.1595833333333339</v>
      </c>
      <c r="N31" s="344" t="s">
        <v>16</v>
      </c>
      <c r="O31" s="338"/>
      <c r="P31" s="719"/>
      <c r="Q31" s="720"/>
      <c r="R31" s="721"/>
    </row>
    <row r="32" spans="1:18" x14ac:dyDescent="0.2">
      <c r="A32" s="668" t="s">
        <v>56</v>
      </c>
      <c r="B32" s="669"/>
      <c r="C32" s="670"/>
      <c r="D32" s="338"/>
      <c r="E32" s="330">
        <v>1</v>
      </c>
      <c r="F32" s="488">
        <f>18/12</f>
        <v>1.5</v>
      </c>
      <c r="G32" s="484">
        <v>4.33</v>
      </c>
      <c r="H32" s="333">
        <v>1</v>
      </c>
      <c r="I32" s="330">
        <v>50</v>
      </c>
      <c r="J32" s="333" t="s">
        <v>45</v>
      </c>
      <c r="K32" s="330">
        <f t="shared" si="3"/>
        <v>324.75</v>
      </c>
      <c r="L32" s="24"/>
      <c r="M32" s="482">
        <f t="shared" si="4"/>
        <v>12.027777777777779</v>
      </c>
      <c r="N32" s="344" t="s">
        <v>16</v>
      </c>
      <c r="O32" s="338"/>
      <c r="P32" s="719"/>
      <c r="Q32" s="720"/>
      <c r="R32" s="721"/>
    </row>
    <row r="33" spans="1:18" x14ac:dyDescent="0.2">
      <c r="A33" s="668" t="s">
        <v>31</v>
      </c>
      <c r="B33" s="669"/>
      <c r="C33" s="670"/>
      <c r="D33" s="338"/>
      <c r="E33" s="330">
        <v>1</v>
      </c>
      <c r="F33" s="488">
        <f>8/12</f>
        <v>0.66666666666666663</v>
      </c>
      <c r="G33" s="484">
        <v>0.8</v>
      </c>
      <c r="H33" s="333">
        <v>1</v>
      </c>
      <c r="I33" s="330">
        <v>129</v>
      </c>
      <c r="J33" s="333" t="s">
        <v>45</v>
      </c>
      <c r="K33" s="330">
        <f t="shared" si="3"/>
        <v>68.8</v>
      </c>
      <c r="L33" s="333"/>
      <c r="M33" s="482">
        <f t="shared" si="4"/>
        <v>2.5481481481481478</v>
      </c>
      <c r="N33" s="344" t="s">
        <v>16</v>
      </c>
      <c r="O33" s="338"/>
      <c r="P33" s="719"/>
      <c r="Q33" s="720"/>
      <c r="R33" s="721"/>
    </row>
    <row r="34" spans="1:18" x14ac:dyDescent="0.2">
      <c r="A34" s="668" t="s">
        <v>32</v>
      </c>
      <c r="B34" s="669"/>
      <c r="C34" s="670"/>
      <c r="D34" s="338"/>
      <c r="E34" s="330">
        <v>1</v>
      </c>
      <c r="F34" s="488">
        <f>18/12</f>
        <v>1.5</v>
      </c>
      <c r="G34" s="484">
        <f>8/12</f>
        <v>0.66666666666666663</v>
      </c>
      <c r="H34" s="333">
        <v>1</v>
      </c>
      <c r="I34" s="330">
        <v>8</v>
      </c>
      <c r="J34" s="333" t="s">
        <v>45</v>
      </c>
      <c r="K34" s="330">
        <f t="shared" si="3"/>
        <v>8</v>
      </c>
      <c r="L34" s="333"/>
      <c r="M34" s="482">
        <f t="shared" si="4"/>
        <v>0.29629629629629628</v>
      </c>
      <c r="N34" s="344" t="s">
        <v>16</v>
      </c>
      <c r="O34" s="338"/>
      <c r="P34" s="719"/>
      <c r="Q34" s="720"/>
      <c r="R34" s="721"/>
    </row>
    <row r="35" spans="1:18" x14ac:dyDescent="0.2">
      <c r="A35" s="609" t="s">
        <v>57</v>
      </c>
      <c r="B35" s="610"/>
      <c r="C35" s="611"/>
      <c r="D35" s="338"/>
      <c r="E35" s="330">
        <v>1</v>
      </c>
      <c r="F35" s="488">
        <f>8/12</f>
        <v>0.66666666666666663</v>
      </c>
      <c r="G35" s="484">
        <f>5/12</f>
        <v>0.41666666666666669</v>
      </c>
      <c r="H35" s="333">
        <v>1</v>
      </c>
      <c r="I35" s="330">
        <v>234</v>
      </c>
      <c r="J35" s="333" t="s">
        <v>45</v>
      </c>
      <c r="K35" s="330">
        <f t="shared" si="3"/>
        <v>65</v>
      </c>
      <c r="L35" s="333"/>
      <c r="M35" s="482">
        <f t="shared" si="4"/>
        <v>2.4074074074074074</v>
      </c>
      <c r="N35" s="344" t="s">
        <v>16</v>
      </c>
      <c r="O35" s="338"/>
      <c r="P35" s="719"/>
      <c r="Q35" s="720"/>
      <c r="R35" s="721"/>
    </row>
    <row r="36" spans="1:18" ht="15" x14ac:dyDescent="0.25">
      <c r="A36" s="716" t="s">
        <v>14</v>
      </c>
      <c r="B36" s="717"/>
      <c r="C36" s="718"/>
      <c r="D36" s="338"/>
      <c r="E36" s="330"/>
      <c r="F36" s="331"/>
      <c r="G36" s="484">
        <f>SUM(G26:G35)</f>
        <v>30.128333333333334</v>
      </c>
      <c r="H36" s="333"/>
      <c r="I36" s="347">
        <f>SUM(I26:I35)</f>
        <v>749</v>
      </c>
      <c r="J36" s="333"/>
      <c r="K36" s="330"/>
      <c r="L36" s="333"/>
      <c r="M36" s="480">
        <f>SUM(M26:M35)</f>
        <v>54.80282600308643</v>
      </c>
      <c r="N36" s="481" t="s">
        <v>16</v>
      </c>
      <c r="O36" s="564" t="s">
        <v>745</v>
      </c>
      <c r="P36" s="719"/>
      <c r="Q36" s="720"/>
      <c r="R36" s="721"/>
    </row>
    <row r="37" spans="1:18" x14ac:dyDescent="0.2">
      <c r="A37" s="668"/>
      <c r="B37" s="669"/>
      <c r="C37" s="670"/>
      <c r="D37" s="338"/>
      <c r="E37" s="330"/>
      <c r="F37" s="331"/>
      <c r="G37" s="332"/>
      <c r="H37" s="333"/>
      <c r="I37" s="330"/>
      <c r="J37" s="333"/>
      <c r="K37" s="330"/>
      <c r="L37" s="333"/>
      <c r="M37" s="482"/>
      <c r="N37" s="344"/>
      <c r="O37" s="338"/>
      <c r="P37" s="719"/>
      <c r="Q37" s="720"/>
      <c r="R37" s="721"/>
    </row>
    <row r="38" spans="1:18" x14ac:dyDescent="0.2">
      <c r="A38" s="691" t="s">
        <v>59</v>
      </c>
      <c r="B38" s="692"/>
      <c r="C38" s="693"/>
      <c r="D38" s="338" t="s">
        <v>62</v>
      </c>
      <c r="E38" s="330"/>
      <c r="F38" s="331"/>
      <c r="G38" s="332"/>
      <c r="H38" s="333"/>
      <c r="I38" s="330"/>
      <c r="J38" s="333"/>
      <c r="K38" s="330"/>
      <c r="L38" s="333"/>
      <c r="M38" s="482"/>
      <c r="N38" s="344"/>
      <c r="O38" s="338"/>
      <c r="P38" s="719"/>
      <c r="Q38" s="720"/>
      <c r="R38" s="721"/>
    </row>
    <row r="39" spans="1:18" x14ac:dyDescent="0.2">
      <c r="A39" s="668" t="s">
        <v>33</v>
      </c>
      <c r="B39" s="669"/>
      <c r="C39" s="670"/>
      <c r="D39" s="338"/>
      <c r="E39" s="330">
        <v>4</v>
      </c>
      <c r="F39" s="331">
        <v>4</v>
      </c>
      <c r="G39" s="332">
        <v>1.33</v>
      </c>
      <c r="H39" s="333">
        <v>3</v>
      </c>
      <c r="I39" s="347">
        <f t="shared" ref="I39:I44" si="5">E39*F39*G39*H39</f>
        <v>63.84</v>
      </c>
      <c r="J39" s="333" t="s">
        <v>45</v>
      </c>
      <c r="K39" s="330"/>
      <c r="L39" s="333"/>
      <c r="M39" s="482">
        <f t="shared" ref="M39:M44" si="6">I39/27</f>
        <v>2.3644444444444446</v>
      </c>
      <c r="N39" s="344" t="s">
        <v>16</v>
      </c>
      <c r="O39" s="338"/>
      <c r="P39" s="719"/>
      <c r="Q39" s="720"/>
      <c r="R39" s="721"/>
    </row>
    <row r="40" spans="1:18" x14ac:dyDescent="0.2">
      <c r="A40" s="668" t="s">
        <v>34</v>
      </c>
      <c r="B40" s="669"/>
      <c r="C40" s="670"/>
      <c r="D40" s="338"/>
      <c r="E40" s="330">
        <v>6</v>
      </c>
      <c r="F40" s="331">
        <v>6</v>
      </c>
      <c r="G40" s="332">
        <v>1.33</v>
      </c>
      <c r="H40" s="333">
        <v>2</v>
      </c>
      <c r="I40" s="347">
        <f t="shared" si="5"/>
        <v>95.76</v>
      </c>
      <c r="J40" s="333" t="s">
        <v>45</v>
      </c>
      <c r="K40" s="330"/>
      <c r="L40" s="333"/>
      <c r="M40" s="482">
        <f t="shared" si="6"/>
        <v>3.5466666666666669</v>
      </c>
      <c r="N40" s="344" t="s">
        <v>16</v>
      </c>
      <c r="O40" s="338"/>
      <c r="P40" s="719"/>
      <c r="Q40" s="720"/>
      <c r="R40" s="721"/>
    </row>
    <row r="41" spans="1:18" x14ac:dyDescent="0.2">
      <c r="A41" s="668" t="s">
        <v>35</v>
      </c>
      <c r="B41" s="669"/>
      <c r="C41" s="670"/>
      <c r="D41" s="338"/>
      <c r="E41" s="330">
        <v>6.5</v>
      </c>
      <c r="F41" s="331">
        <v>6.5</v>
      </c>
      <c r="G41" s="332">
        <v>2</v>
      </c>
      <c r="H41" s="333">
        <v>8</v>
      </c>
      <c r="I41" s="347">
        <f t="shared" si="5"/>
        <v>676</v>
      </c>
      <c r="J41" s="333" t="s">
        <v>45</v>
      </c>
      <c r="K41" s="330"/>
      <c r="L41" s="333"/>
      <c r="M41" s="482">
        <f t="shared" si="6"/>
        <v>25.037037037037038</v>
      </c>
      <c r="N41" s="344" t="s">
        <v>16</v>
      </c>
      <c r="O41" s="338"/>
      <c r="P41" s="719"/>
      <c r="Q41" s="720"/>
      <c r="R41" s="721"/>
    </row>
    <row r="42" spans="1:18" x14ac:dyDescent="0.2">
      <c r="A42" s="609" t="s">
        <v>36</v>
      </c>
      <c r="B42" s="610"/>
      <c r="C42" s="611"/>
      <c r="D42" s="338"/>
      <c r="E42" s="330">
        <v>8</v>
      </c>
      <c r="F42" s="331">
        <v>8</v>
      </c>
      <c r="G42" s="332">
        <v>2</v>
      </c>
      <c r="H42" s="333">
        <v>4</v>
      </c>
      <c r="I42" s="347">
        <f t="shared" si="5"/>
        <v>512</v>
      </c>
      <c r="J42" s="333" t="s">
        <v>45</v>
      </c>
      <c r="K42" s="330"/>
      <c r="L42" s="333"/>
      <c r="M42" s="482">
        <f t="shared" si="6"/>
        <v>18.962962962962962</v>
      </c>
      <c r="N42" s="344" t="s">
        <v>16</v>
      </c>
      <c r="O42" s="338"/>
      <c r="P42" s="719"/>
      <c r="Q42" s="720"/>
      <c r="R42" s="721"/>
    </row>
    <row r="43" spans="1:18" x14ac:dyDescent="0.2">
      <c r="A43" s="668" t="s">
        <v>37</v>
      </c>
      <c r="B43" s="669"/>
      <c r="C43" s="670"/>
      <c r="D43" s="338"/>
      <c r="E43" s="330">
        <v>10</v>
      </c>
      <c r="F43" s="331">
        <v>6</v>
      </c>
      <c r="G43" s="332">
        <v>2</v>
      </c>
      <c r="H43" s="333">
        <v>3</v>
      </c>
      <c r="I43" s="347">
        <f t="shared" si="5"/>
        <v>360</v>
      </c>
      <c r="J43" s="333" t="s">
        <v>45</v>
      </c>
      <c r="K43" s="330"/>
      <c r="L43" s="333"/>
      <c r="M43" s="482">
        <f t="shared" si="6"/>
        <v>13.333333333333334</v>
      </c>
      <c r="N43" s="344" t="s">
        <v>16</v>
      </c>
      <c r="O43" s="338"/>
      <c r="P43" s="719"/>
      <c r="Q43" s="720"/>
      <c r="R43" s="721"/>
    </row>
    <row r="44" spans="1:18" x14ac:dyDescent="0.2">
      <c r="A44" s="668" t="s">
        <v>38</v>
      </c>
      <c r="B44" s="669"/>
      <c r="C44" s="670"/>
      <c r="D44" s="338"/>
      <c r="E44" s="330">
        <v>11</v>
      </c>
      <c r="F44" s="331">
        <v>7</v>
      </c>
      <c r="G44" s="332">
        <v>2</v>
      </c>
      <c r="H44" s="333">
        <v>2</v>
      </c>
      <c r="I44" s="347">
        <f t="shared" si="5"/>
        <v>308</v>
      </c>
      <c r="J44" s="333" t="s">
        <v>45</v>
      </c>
      <c r="K44" s="330"/>
      <c r="L44" s="333"/>
      <c r="M44" s="482">
        <f t="shared" si="6"/>
        <v>11.407407407407407</v>
      </c>
      <c r="N44" s="344" t="s">
        <v>16</v>
      </c>
      <c r="O44" s="338"/>
      <c r="P44" s="719"/>
      <c r="Q44" s="720"/>
      <c r="R44" s="721"/>
    </row>
    <row r="45" spans="1:18" ht="15" x14ac:dyDescent="0.25">
      <c r="A45" s="716" t="s">
        <v>14</v>
      </c>
      <c r="B45" s="701"/>
      <c r="C45" s="702"/>
      <c r="D45" s="338"/>
      <c r="E45" s="330"/>
      <c r="F45" s="331"/>
      <c r="G45" s="332"/>
      <c r="H45" s="333"/>
      <c r="I45" s="347"/>
      <c r="J45" s="333"/>
      <c r="K45" s="330"/>
      <c r="L45" s="333"/>
      <c r="M45" s="480">
        <f>SUM(M39:M44)</f>
        <v>74.651851851851859</v>
      </c>
      <c r="N45" s="481" t="s">
        <v>16</v>
      </c>
      <c r="O45" s="564" t="s">
        <v>745</v>
      </c>
      <c r="P45" s="719"/>
      <c r="Q45" s="720"/>
      <c r="R45" s="721"/>
    </row>
    <row r="46" spans="1:18" x14ac:dyDescent="0.2">
      <c r="A46" s="668"/>
      <c r="B46" s="669"/>
      <c r="C46" s="670"/>
      <c r="D46" s="338"/>
      <c r="E46" s="330"/>
      <c r="F46" s="331"/>
      <c r="G46" s="332"/>
      <c r="H46" s="333"/>
      <c r="I46" s="347"/>
      <c r="J46" s="333"/>
      <c r="K46" s="330"/>
      <c r="L46" s="333"/>
      <c r="M46" s="482"/>
      <c r="N46" s="344"/>
      <c r="O46" s="338"/>
      <c r="P46" s="719"/>
      <c r="Q46" s="720"/>
      <c r="R46" s="721"/>
    </row>
    <row r="47" spans="1:18" x14ac:dyDescent="0.2">
      <c r="A47" s="694" t="s">
        <v>46</v>
      </c>
      <c r="B47" s="695"/>
      <c r="C47" s="696"/>
      <c r="D47" s="338" t="s">
        <v>62</v>
      </c>
      <c r="E47" s="330"/>
      <c r="F47" s="331"/>
      <c r="G47" s="332"/>
      <c r="H47" s="333"/>
      <c r="I47" s="330"/>
      <c r="J47" s="333"/>
      <c r="K47" s="330"/>
      <c r="L47" s="333"/>
      <c r="M47" s="482"/>
      <c r="N47" s="344"/>
      <c r="O47" s="338"/>
      <c r="P47" s="719"/>
      <c r="Q47" s="720"/>
      <c r="R47" s="721"/>
    </row>
    <row r="48" spans="1:18" x14ac:dyDescent="0.2">
      <c r="A48" s="609" t="s">
        <v>58</v>
      </c>
      <c r="B48" s="610"/>
      <c r="C48" s="611"/>
      <c r="D48" s="338"/>
      <c r="E48" s="330">
        <v>1</v>
      </c>
      <c r="F48" s="331">
        <v>1</v>
      </c>
      <c r="G48" s="332">
        <v>0.5</v>
      </c>
      <c r="H48" s="333"/>
      <c r="I48" s="330">
        <v>10141</v>
      </c>
      <c r="J48" s="333" t="s">
        <v>42</v>
      </c>
      <c r="K48" s="330">
        <f>E48*F48*G48*I48/27</f>
        <v>187.7962962962963</v>
      </c>
      <c r="L48" s="333" t="s">
        <v>16</v>
      </c>
      <c r="M48" s="482">
        <f>K48*1.85</f>
        <v>347.42314814814819</v>
      </c>
      <c r="N48" s="344" t="s">
        <v>16</v>
      </c>
      <c r="O48" s="338"/>
      <c r="P48" s="719"/>
      <c r="Q48" s="720"/>
      <c r="R48" s="721"/>
    </row>
    <row r="49" spans="1:18" x14ac:dyDescent="0.2">
      <c r="A49" s="668" t="s">
        <v>60</v>
      </c>
      <c r="B49" s="669"/>
      <c r="C49" s="670"/>
      <c r="D49" s="338"/>
      <c r="E49" s="330">
        <v>1</v>
      </c>
      <c r="F49" s="331">
        <v>2</v>
      </c>
      <c r="G49" s="332">
        <v>4</v>
      </c>
      <c r="H49" s="333">
        <v>1</v>
      </c>
      <c r="I49" s="330">
        <v>360</v>
      </c>
      <c r="J49" s="333" t="s">
        <v>45</v>
      </c>
      <c r="K49" s="330">
        <f>E49*F49*G49*I49/27</f>
        <v>106.66666666666667</v>
      </c>
      <c r="L49" s="333" t="s">
        <v>16</v>
      </c>
      <c r="M49" s="482">
        <f>K49*1.85</f>
        <v>197.33333333333334</v>
      </c>
      <c r="N49" s="344" t="s">
        <v>16</v>
      </c>
      <c r="O49" s="338"/>
      <c r="P49" s="719"/>
      <c r="Q49" s="720"/>
      <c r="R49" s="721"/>
    </row>
    <row r="50" spans="1:18" ht="13.5" thickBot="1" x14ac:dyDescent="0.25">
      <c r="A50" s="668"/>
      <c r="B50" s="669"/>
      <c r="C50" s="670"/>
      <c r="D50" s="338"/>
      <c r="E50" s="330"/>
      <c r="F50" s="331"/>
      <c r="G50" s="332"/>
      <c r="H50" s="333"/>
      <c r="I50" s="330"/>
      <c r="J50" s="333"/>
      <c r="K50" s="489"/>
      <c r="L50" s="24"/>
      <c r="M50" s="482">
        <f>SUM(M48:M49)</f>
        <v>544.7564814814815</v>
      </c>
      <c r="N50" s="344" t="s">
        <v>16</v>
      </c>
      <c r="O50" s="338"/>
      <c r="P50" s="719"/>
      <c r="Q50" s="720"/>
      <c r="R50" s="721"/>
    </row>
    <row r="51" spans="1:18" ht="13.5" thickTop="1" x14ac:dyDescent="0.2">
      <c r="A51" s="694"/>
      <c r="B51" s="695"/>
      <c r="C51" s="696"/>
      <c r="D51" s="338"/>
      <c r="E51" s="330"/>
      <c r="F51" s="331"/>
      <c r="G51" s="332"/>
      <c r="H51" s="333"/>
      <c r="I51" s="330"/>
      <c r="J51" s="333"/>
      <c r="K51" s="26"/>
      <c r="L51" s="333"/>
      <c r="M51" s="482"/>
      <c r="N51" s="33"/>
      <c r="O51" s="338"/>
      <c r="P51" s="719"/>
      <c r="Q51" s="720"/>
      <c r="R51" s="721"/>
    </row>
    <row r="52" spans="1:18" x14ac:dyDescent="0.2">
      <c r="A52" s="694" t="s">
        <v>61</v>
      </c>
      <c r="B52" s="695"/>
      <c r="C52" s="696"/>
      <c r="D52" s="338"/>
      <c r="E52" s="330"/>
      <c r="F52" s="331"/>
      <c r="G52" s="332"/>
      <c r="H52" s="333"/>
      <c r="I52" s="330"/>
      <c r="J52" s="333"/>
      <c r="K52" s="330">
        <v>10141</v>
      </c>
      <c r="L52" s="333" t="s">
        <v>42</v>
      </c>
      <c r="M52" s="482">
        <f>K52/100</f>
        <v>101.41</v>
      </c>
      <c r="N52" s="344" t="s">
        <v>372</v>
      </c>
      <c r="O52" s="338"/>
      <c r="P52" s="719" t="s">
        <v>63</v>
      </c>
      <c r="Q52" s="720"/>
      <c r="R52" s="721"/>
    </row>
    <row r="53" spans="1:18" x14ac:dyDescent="0.2">
      <c r="A53" s="691" t="s">
        <v>795</v>
      </c>
      <c r="B53" s="692"/>
      <c r="C53" s="693"/>
      <c r="D53" s="338"/>
      <c r="E53" s="330"/>
      <c r="F53" s="331"/>
      <c r="G53" s="332"/>
      <c r="H53" s="333"/>
      <c r="I53" s="330"/>
      <c r="J53" s="333"/>
      <c r="K53" s="330">
        <v>10141</v>
      </c>
      <c r="L53" s="333" t="s">
        <v>42</v>
      </c>
      <c r="M53" s="482">
        <f>K53</f>
        <v>10141</v>
      </c>
      <c r="N53" s="344" t="s">
        <v>42</v>
      </c>
      <c r="O53" s="338"/>
      <c r="P53" s="719"/>
      <c r="Q53" s="720"/>
      <c r="R53" s="721"/>
    </row>
    <row r="54" spans="1:18" x14ac:dyDescent="0.2">
      <c r="A54" s="668"/>
      <c r="B54" s="669"/>
      <c r="C54" s="670"/>
      <c r="D54" s="22"/>
      <c r="E54" s="330"/>
      <c r="F54" s="331"/>
      <c r="G54" s="332"/>
      <c r="H54" s="333"/>
      <c r="I54" s="330"/>
      <c r="J54" s="24"/>
      <c r="K54" s="330"/>
      <c r="L54" s="333"/>
      <c r="M54" s="482"/>
      <c r="N54" s="344"/>
      <c r="O54" s="338"/>
      <c r="P54" s="719"/>
      <c r="Q54" s="720"/>
      <c r="R54" s="721"/>
    </row>
    <row r="55" spans="1:18" x14ac:dyDescent="0.2">
      <c r="A55" s="668" t="s">
        <v>86</v>
      </c>
      <c r="B55" s="669"/>
      <c r="C55" s="670"/>
      <c r="D55" s="338"/>
      <c r="E55" s="330"/>
      <c r="F55" s="331"/>
      <c r="G55" s="332"/>
      <c r="H55" s="333"/>
      <c r="I55" s="347"/>
      <c r="J55" s="333"/>
      <c r="K55" s="330"/>
      <c r="L55" s="333"/>
      <c r="M55" s="480">
        <f>M45+M36+M23+M12</f>
        <v>457.59652970679008</v>
      </c>
      <c r="N55" s="481" t="s">
        <v>16</v>
      </c>
      <c r="O55" s="338"/>
      <c r="P55" s="719"/>
      <c r="Q55" s="720"/>
      <c r="R55" s="721"/>
    </row>
    <row r="56" spans="1:18" ht="13.5" thickBot="1" x14ac:dyDescent="0.25">
      <c r="A56" s="668" t="s">
        <v>39</v>
      </c>
      <c r="B56" s="669"/>
      <c r="C56" s="670"/>
      <c r="D56" s="338"/>
      <c r="E56" s="330"/>
      <c r="F56" s="331"/>
      <c r="G56" s="332"/>
      <c r="H56" s="333"/>
      <c r="I56" s="330"/>
      <c r="J56" s="333"/>
      <c r="K56" s="489"/>
      <c r="L56" s="24"/>
      <c r="M56" s="490">
        <f>M55*0.05</f>
        <v>22.879826485339507</v>
      </c>
      <c r="N56" s="481"/>
      <c r="O56" s="338"/>
      <c r="P56" s="719"/>
      <c r="Q56" s="720"/>
      <c r="R56" s="721"/>
    </row>
    <row r="57" spans="1:18" ht="13.5" thickTop="1" x14ac:dyDescent="0.2">
      <c r="A57" s="674" t="s">
        <v>87</v>
      </c>
      <c r="B57" s="675"/>
      <c r="C57" s="676"/>
      <c r="D57" s="354"/>
      <c r="E57" s="355"/>
      <c r="F57" s="356"/>
      <c r="G57" s="357"/>
      <c r="H57" s="358"/>
      <c r="I57" s="355"/>
      <c r="J57" s="358"/>
      <c r="K57" s="31"/>
      <c r="L57" s="358"/>
      <c r="M57" s="491">
        <f>SUM(M55:M56)</f>
        <v>480.47635619212957</v>
      </c>
      <c r="N57" s="92" t="s">
        <v>16</v>
      </c>
      <c r="O57" s="354"/>
      <c r="P57" s="725"/>
      <c r="Q57" s="726"/>
      <c r="R57" s="727"/>
    </row>
  </sheetData>
  <mergeCells count="110">
    <mergeCell ref="P2:Q2"/>
    <mergeCell ref="P56:R56"/>
    <mergeCell ref="P57:R57"/>
    <mergeCell ref="A23:C23"/>
    <mergeCell ref="P50:R50"/>
    <mergeCell ref="P51:R51"/>
    <mergeCell ref="P52:R52"/>
    <mergeCell ref="P53:R53"/>
    <mergeCell ref="P54:R54"/>
    <mergeCell ref="P55:R55"/>
    <mergeCell ref="P44:R44"/>
    <mergeCell ref="P45:R45"/>
    <mergeCell ref="P46:R46"/>
    <mergeCell ref="P49:R49"/>
    <mergeCell ref="P38:R38"/>
    <mergeCell ref="P39:R39"/>
    <mergeCell ref="P40:R40"/>
    <mergeCell ref="P41:R41"/>
    <mergeCell ref="P42:R42"/>
    <mergeCell ref="P43:R43"/>
    <mergeCell ref="P33:R33"/>
    <mergeCell ref="P34:R34"/>
    <mergeCell ref="P35:R35"/>
    <mergeCell ref="P36:R36"/>
    <mergeCell ref="P37:R37"/>
    <mergeCell ref="P27:R27"/>
    <mergeCell ref="P28:R28"/>
    <mergeCell ref="P29:R29"/>
    <mergeCell ref="P30:R30"/>
    <mergeCell ref="P31:R31"/>
    <mergeCell ref="P32:R32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P10:R10"/>
    <mergeCell ref="P11:R11"/>
    <mergeCell ref="P12:R12"/>
    <mergeCell ref="P13:R13"/>
    <mergeCell ref="P47:R47"/>
    <mergeCell ref="P48:R48"/>
    <mergeCell ref="A9:C9"/>
    <mergeCell ref="A8:C8"/>
    <mergeCell ref="P6:R6"/>
    <mergeCell ref="P7:R7"/>
    <mergeCell ref="P8:R8"/>
    <mergeCell ref="P9:R9"/>
    <mergeCell ref="A54:C54"/>
    <mergeCell ref="A31:C31"/>
    <mergeCell ref="A32:C32"/>
    <mergeCell ref="A33:C33"/>
    <mergeCell ref="A34:C34"/>
    <mergeCell ref="A35:C35"/>
    <mergeCell ref="A25:C25"/>
    <mergeCell ref="A26:C26"/>
    <mergeCell ref="A27:C27"/>
    <mergeCell ref="A28:C28"/>
    <mergeCell ref="A29:C29"/>
    <mergeCell ref="A30:C30"/>
    <mergeCell ref="A18:C18"/>
    <mergeCell ref="A19:C19"/>
    <mergeCell ref="A20:C20"/>
    <mergeCell ref="A21:C21"/>
    <mergeCell ref="A55:C55"/>
    <mergeCell ref="A56:C56"/>
    <mergeCell ref="A57:C57"/>
    <mergeCell ref="A7:C7"/>
    <mergeCell ref="A13:C13"/>
    <mergeCell ref="A12:C12"/>
    <mergeCell ref="A11:C11"/>
    <mergeCell ref="A10:C10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22:C22"/>
    <mergeCell ref="A24:C24"/>
    <mergeCell ref="A47:C47"/>
    <mergeCell ref="A48:C48"/>
    <mergeCell ref="A14:C14"/>
    <mergeCell ref="A15:C15"/>
    <mergeCell ref="A16:C16"/>
    <mergeCell ref="A17:C17"/>
    <mergeCell ref="L1:M1"/>
    <mergeCell ref="A4:C4"/>
    <mergeCell ref="D3:F3"/>
    <mergeCell ref="D4:F4"/>
    <mergeCell ref="L4:M4"/>
    <mergeCell ref="L3:M3"/>
    <mergeCell ref="L2:M2"/>
  </mergeCells>
  <hyperlinks>
    <hyperlink ref="D15" r:id="rId1"/>
    <hyperlink ref="D8" r:id="rId2"/>
    <hyperlink ref="D25" r:id="rId3"/>
    <hyperlink ref="P2" location="'Table of Contents'!A1" display="Table of Contents"/>
    <hyperlink ref="O12" location="'Concrete Price'!A1" display="P3"/>
    <hyperlink ref="O23" location="'Concrete Price'!A1" display="P3"/>
    <hyperlink ref="O36" location="'Concrete Price'!A1" display="P3"/>
    <hyperlink ref="O45" location="'Concrete Price'!A1" display="P3"/>
  </hyperlinks>
  <pageMargins left="0.7" right="0.7" top="0.75" bottom="0.75" header="0.3" footer="0.3"/>
  <pageSetup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S62"/>
  <sheetViews>
    <sheetView workbookViewId="0">
      <pane xSplit="14" ySplit="6" topLeftCell="O37" activePane="bottomRight" state="frozen"/>
      <selection pane="topRight" activeCell="O1" sqref="O1"/>
      <selection pane="bottomLeft" activeCell="A7" sqref="A7"/>
      <selection pane="bottomRight" activeCell="P51" sqref="P51:S51"/>
    </sheetView>
  </sheetViews>
  <sheetFormatPr defaultRowHeight="12.75" x14ac:dyDescent="0.2"/>
  <cols>
    <col min="1" max="4" width="9.140625" style="292"/>
    <col min="5" max="9" width="9.28515625" style="292" bestFit="1" customWidth="1"/>
    <col min="10" max="12" width="9.140625" style="292"/>
    <col min="13" max="13" width="9.5703125" style="292" bestFit="1" customWidth="1"/>
    <col min="14" max="18" width="9.140625" style="292"/>
    <col min="19" max="19" width="9.140625" style="292" customWidth="1"/>
    <col min="20" max="16384" width="9.140625" style="292"/>
  </cols>
  <sheetData>
    <row r="1" spans="1:19" x14ac:dyDescent="0.2">
      <c r="A1" s="290"/>
      <c r="C1" s="29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700</v>
      </c>
      <c r="M1" s="620"/>
      <c r="N1" s="287"/>
      <c r="O1" s="302"/>
    </row>
    <row r="2" spans="1:19" ht="15" x14ac:dyDescent="0.25">
      <c r="A2" s="290"/>
      <c r="C2" s="29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9" x14ac:dyDescent="0.2">
      <c r="A3" s="384"/>
      <c r="B3" s="361"/>
      <c r="C3" s="291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</row>
    <row r="4" spans="1:19" x14ac:dyDescent="0.2">
      <c r="A4" s="710" t="s">
        <v>18</v>
      </c>
      <c r="B4" s="710"/>
      <c r="C4" s="710"/>
      <c r="D4" s="711" t="s">
        <v>1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</row>
    <row r="5" spans="1:19" x14ac:dyDescent="0.2">
      <c r="A5" s="311"/>
      <c r="B5" s="314"/>
      <c r="C5" s="492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402" t="s">
        <v>4</v>
      </c>
      <c r="P5" s="313"/>
      <c r="Q5" s="314"/>
      <c r="R5" s="314"/>
      <c r="S5" s="315"/>
    </row>
    <row r="6" spans="1:19" ht="13.5" thickBot="1" x14ac:dyDescent="0.25">
      <c r="A6" s="493" t="s">
        <v>5</v>
      </c>
      <c r="B6" s="494"/>
      <c r="C6" s="495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20" t="s">
        <v>15</v>
      </c>
      <c r="P6" s="722" t="s">
        <v>40</v>
      </c>
      <c r="Q6" s="723"/>
      <c r="R6" s="723"/>
      <c r="S6" s="496"/>
    </row>
    <row r="7" spans="1:19" x14ac:dyDescent="0.2">
      <c r="A7" s="728"/>
      <c r="B7" s="729"/>
      <c r="C7" s="730"/>
      <c r="D7" s="322"/>
      <c r="E7" s="323"/>
      <c r="F7" s="324"/>
      <c r="G7" s="325"/>
      <c r="H7" s="326"/>
      <c r="I7" s="323"/>
      <c r="J7" s="326"/>
      <c r="K7" s="323"/>
      <c r="L7" s="326"/>
      <c r="M7" s="323"/>
      <c r="N7" s="326"/>
      <c r="O7" s="322"/>
      <c r="P7" s="747"/>
      <c r="Q7" s="748"/>
      <c r="R7" s="748"/>
      <c r="S7" s="749"/>
    </row>
    <row r="8" spans="1:19" ht="15" x14ac:dyDescent="0.25">
      <c r="A8" s="737" t="s">
        <v>64</v>
      </c>
      <c r="B8" s="738"/>
      <c r="C8" s="739"/>
      <c r="D8" s="564" t="s">
        <v>84</v>
      </c>
      <c r="E8" s="330"/>
      <c r="F8" s="331"/>
      <c r="G8" s="332"/>
      <c r="H8" s="333"/>
      <c r="I8" s="330"/>
      <c r="J8" s="24"/>
      <c r="K8" s="330"/>
      <c r="L8" s="333"/>
      <c r="M8" s="330"/>
      <c r="N8" s="333"/>
      <c r="O8" s="564" t="s">
        <v>745</v>
      </c>
      <c r="P8" s="719"/>
      <c r="Q8" s="720"/>
      <c r="R8" s="720"/>
      <c r="S8" s="721"/>
    </row>
    <row r="9" spans="1:19" x14ac:dyDescent="0.2">
      <c r="A9" s="740" t="s">
        <v>65</v>
      </c>
      <c r="B9" s="654"/>
      <c r="C9" s="741"/>
      <c r="D9" s="22"/>
      <c r="E9" s="330"/>
      <c r="F9" s="331"/>
      <c r="G9" s="332"/>
      <c r="H9" s="333"/>
      <c r="I9" s="330"/>
      <c r="J9" s="333"/>
      <c r="K9" s="343"/>
      <c r="L9" s="344"/>
      <c r="M9" s="339">
        <v>2610</v>
      </c>
      <c r="N9" s="336" t="s">
        <v>42</v>
      </c>
      <c r="O9" s="338"/>
      <c r="P9" s="719" t="s">
        <v>70</v>
      </c>
      <c r="Q9" s="720"/>
      <c r="R9" s="720"/>
      <c r="S9" s="721"/>
    </row>
    <row r="10" spans="1:19" x14ac:dyDescent="0.2">
      <c r="A10" s="671" t="s">
        <v>66</v>
      </c>
      <c r="B10" s="672"/>
      <c r="C10" s="673"/>
      <c r="D10" s="338"/>
      <c r="E10" s="330"/>
      <c r="F10" s="331"/>
      <c r="G10" s="332"/>
      <c r="H10" s="333"/>
      <c r="I10" s="330"/>
      <c r="J10" s="333"/>
      <c r="K10" s="343"/>
      <c r="L10" s="344"/>
      <c r="M10" s="339">
        <v>3474</v>
      </c>
      <c r="N10" s="336" t="s">
        <v>42</v>
      </c>
      <c r="O10" s="338"/>
      <c r="P10" s="719" t="s">
        <v>69</v>
      </c>
      <c r="Q10" s="720"/>
      <c r="R10" s="720"/>
      <c r="S10" s="721"/>
    </row>
    <row r="11" spans="1:19" x14ac:dyDescent="0.2">
      <c r="A11" s="671" t="s">
        <v>67</v>
      </c>
      <c r="B11" s="672"/>
      <c r="C11" s="673"/>
      <c r="D11" s="338"/>
      <c r="E11" s="330"/>
      <c r="F11" s="331"/>
      <c r="G11" s="332"/>
      <c r="H11" s="333"/>
      <c r="I11" s="330"/>
      <c r="J11" s="333"/>
      <c r="K11" s="343"/>
      <c r="L11" s="344"/>
      <c r="M11" s="339">
        <v>4057</v>
      </c>
      <c r="N11" s="336" t="s">
        <v>42</v>
      </c>
      <c r="O11" s="338"/>
      <c r="P11" s="719" t="s">
        <v>68</v>
      </c>
      <c r="Q11" s="720"/>
      <c r="R11" s="720"/>
      <c r="S11" s="721"/>
    </row>
    <row r="12" spans="1:19" x14ac:dyDescent="0.2">
      <c r="A12" s="671"/>
      <c r="B12" s="672"/>
      <c r="C12" s="673"/>
      <c r="D12" s="338"/>
      <c r="E12" s="330"/>
      <c r="F12" s="331"/>
      <c r="G12" s="332"/>
      <c r="H12" s="333"/>
      <c r="I12" s="330"/>
      <c r="J12" s="333"/>
      <c r="K12" s="91"/>
      <c r="L12" s="344"/>
      <c r="M12" s="26"/>
      <c r="N12" s="333"/>
      <c r="O12" s="22"/>
      <c r="P12" s="719"/>
      <c r="Q12" s="720"/>
      <c r="R12" s="720"/>
      <c r="S12" s="721"/>
    </row>
    <row r="13" spans="1:19" ht="15" x14ac:dyDescent="0.25">
      <c r="A13" s="737" t="s">
        <v>71</v>
      </c>
      <c r="B13" s="738"/>
      <c r="C13" s="739"/>
      <c r="D13" s="564" t="s">
        <v>85</v>
      </c>
      <c r="E13" s="330"/>
      <c r="F13" s="331"/>
      <c r="G13" s="332"/>
      <c r="H13" s="333"/>
      <c r="I13" s="330"/>
      <c r="J13" s="333"/>
      <c r="K13" s="343"/>
      <c r="L13" s="344"/>
      <c r="M13" s="330"/>
      <c r="N13" s="333"/>
      <c r="O13" s="338"/>
      <c r="P13" s="719"/>
      <c r="Q13" s="720"/>
      <c r="R13" s="720"/>
      <c r="S13" s="721"/>
    </row>
    <row r="14" spans="1:19" ht="15" x14ac:dyDescent="0.25">
      <c r="A14" s="740" t="s">
        <v>72</v>
      </c>
      <c r="B14" s="654"/>
      <c r="C14" s="741"/>
      <c r="D14" s="338"/>
      <c r="E14" s="330"/>
      <c r="F14" s="331"/>
      <c r="G14" s="332"/>
      <c r="H14" s="333"/>
      <c r="I14" s="330"/>
      <c r="J14" s="333"/>
      <c r="K14" s="343"/>
      <c r="L14" s="344"/>
      <c r="M14" s="339">
        <f>(86.875*12)+(8*119.9)</f>
        <v>2001.7</v>
      </c>
      <c r="N14" s="336" t="s">
        <v>45</v>
      </c>
      <c r="O14" s="564" t="s">
        <v>745</v>
      </c>
      <c r="P14" s="719" t="s">
        <v>74</v>
      </c>
      <c r="Q14" s="720"/>
      <c r="R14" s="720"/>
      <c r="S14" s="721"/>
    </row>
    <row r="15" spans="1:19" x14ac:dyDescent="0.2">
      <c r="A15" s="740" t="s">
        <v>75</v>
      </c>
      <c r="B15" s="654"/>
      <c r="C15" s="741"/>
      <c r="D15" s="338"/>
      <c r="E15" s="330"/>
      <c r="F15" s="331"/>
      <c r="G15" s="332"/>
      <c r="H15" s="333"/>
      <c r="I15" s="330"/>
      <c r="J15" s="333"/>
      <c r="K15" s="343"/>
      <c r="L15" s="344"/>
      <c r="M15" s="339">
        <f>2.67*92</f>
        <v>245.64</v>
      </c>
      <c r="N15" s="336" t="s">
        <v>45</v>
      </c>
      <c r="O15" s="338"/>
      <c r="P15" s="719" t="s">
        <v>73</v>
      </c>
      <c r="Q15" s="720"/>
      <c r="R15" s="720"/>
      <c r="S15" s="721"/>
    </row>
    <row r="16" spans="1:19" x14ac:dyDescent="0.2">
      <c r="A16" s="716" t="s">
        <v>14</v>
      </c>
      <c r="B16" s="701"/>
      <c r="C16" s="702"/>
      <c r="D16" s="22"/>
      <c r="E16" s="330"/>
      <c r="F16" s="331"/>
      <c r="G16" s="332"/>
      <c r="H16" s="333"/>
      <c r="I16" s="330"/>
      <c r="J16" s="24"/>
      <c r="K16" s="497"/>
      <c r="L16" s="33"/>
      <c r="M16" s="498">
        <f>SUM(M14:M15)</f>
        <v>2247.34</v>
      </c>
      <c r="N16" s="70" t="s">
        <v>45</v>
      </c>
      <c r="O16" s="338"/>
      <c r="P16" s="719" t="s">
        <v>76</v>
      </c>
      <c r="Q16" s="720"/>
      <c r="R16" s="720"/>
      <c r="S16" s="721"/>
    </row>
    <row r="17" spans="1:19" x14ac:dyDescent="0.2">
      <c r="A17" s="671"/>
      <c r="B17" s="672"/>
      <c r="C17" s="673"/>
      <c r="D17" s="22"/>
      <c r="E17" s="330"/>
      <c r="F17" s="331"/>
      <c r="G17" s="332"/>
      <c r="H17" s="333"/>
      <c r="I17" s="330"/>
      <c r="J17" s="333"/>
      <c r="K17" s="330"/>
      <c r="L17" s="333"/>
      <c r="M17" s="343"/>
      <c r="N17" s="344"/>
      <c r="O17" s="338"/>
      <c r="P17" s="719"/>
      <c r="Q17" s="720"/>
      <c r="R17" s="720"/>
      <c r="S17" s="721"/>
    </row>
    <row r="18" spans="1:19" ht="15" x14ac:dyDescent="0.25">
      <c r="A18" s="742" t="s">
        <v>77</v>
      </c>
      <c r="B18" s="742"/>
      <c r="C18" s="743"/>
      <c r="D18" s="564" t="s">
        <v>62</v>
      </c>
      <c r="E18" s="330"/>
      <c r="F18" s="331"/>
      <c r="G18" s="332"/>
      <c r="H18" s="333"/>
      <c r="I18" s="347"/>
      <c r="J18" s="333"/>
      <c r="K18" s="330"/>
      <c r="L18" s="333"/>
      <c r="M18" s="343"/>
      <c r="N18" s="344"/>
      <c r="O18" s="338"/>
      <c r="P18" s="719"/>
      <c r="Q18" s="720"/>
      <c r="R18" s="720"/>
      <c r="S18" s="721"/>
    </row>
    <row r="19" spans="1:19" x14ac:dyDescent="0.2">
      <c r="A19" s="668" t="s">
        <v>48</v>
      </c>
      <c r="B19" s="669"/>
      <c r="C19" s="670"/>
      <c r="D19" s="338"/>
      <c r="E19" s="330">
        <f>Concrete!I16</f>
        <v>162</v>
      </c>
      <c r="F19" s="331"/>
      <c r="G19" s="332">
        <v>1.0429999999999999</v>
      </c>
      <c r="H19" s="333">
        <v>6</v>
      </c>
      <c r="I19" s="292">
        <f>E19*G19*H19</f>
        <v>1013.7959999999998</v>
      </c>
      <c r="J19" s="333" t="s">
        <v>79</v>
      </c>
      <c r="K19" s="330"/>
      <c r="L19" s="333"/>
      <c r="M19" s="343"/>
      <c r="N19" s="344"/>
      <c r="O19" s="338"/>
      <c r="P19" s="719"/>
      <c r="Q19" s="720"/>
      <c r="R19" s="720"/>
      <c r="S19" s="721"/>
    </row>
    <row r="20" spans="1:19" x14ac:dyDescent="0.2">
      <c r="A20" s="668" t="s">
        <v>49</v>
      </c>
      <c r="B20" s="669"/>
      <c r="C20" s="670"/>
      <c r="D20" s="338"/>
      <c r="E20" s="485">
        <f>Concrete!I17</f>
        <v>123</v>
      </c>
      <c r="F20" s="331"/>
      <c r="G20" s="332">
        <v>1.0429999999999999</v>
      </c>
      <c r="H20" s="333">
        <v>10</v>
      </c>
      <c r="I20" s="292">
        <f t="shared" ref="I20:I25" si="0">E20*G20*H20</f>
        <v>1282.8899999999999</v>
      </c>
      <c r="J20" s="333" t="s">
        <v>79</v>
      </c>
      <c r="K20" s="330"/>
      <c r="L20" s="333"/>
      <c r="M20" s="343"/>
      <c r="N20" s="344"/>
      <c r="O20" s="338"/>
      <c r="P20" s="719"/>
      <c r="Q20" s="720"/>
      <c r="R20" s="720"/>
      <c r="S20" s="721"/>
    </row>
    <row r="21" spans="1:19" x14ac:dyDescent="0.2">
      <c r="A21" s="668" t="s">
        <v>50</v>
      </c>
      <c r="B21" s="669"/>
      <c r="C21" s="670"/>
      <c r="D21" s="338"/>
      <c r="E21" s="330">
        <f>Concrete!I18</f>
        <v>161</v>
      </c>
      <c r="F21" s="331"/>
      <c r="G21" s="332">
        <v>1.0429999999999999</v>
      </c>
      <c r="H21" s="333">
        <v>12</v>
      </c>
      <c r="I21" s="292">
        <f t="shared" si="0"/>
        <v>2015.076</v>
      </c>
      <c r="J21" s="333" t="s">
        <v>79</v>
      </c>
      <c r="K21" s="330"/>
      <c r="L21" s="333"/>
      <c r="M21" s="343"/>
      <c r="N21" s="344"/>
      <c r="O21" s="338"/>
      <c r="P21" s="719"/>
      <c r="Q21" s="720"/>
      <c r="R21" s="720"/>
      <c r="S21" s="721"/>
    </row>
    <row r="22" spans="1:19" x14ac:dyDescent="0.2">
      <c r="A22" s="668" t="s">
        <v>51</v>
      </c>
      <c r="B22" s="669"/>
      <c r="C22" s="670"/>
      <c r="D22" s="338"/>
      <c r="E22" s="330">
        <f>Concrete!I19</f>
        <v>61</v>
      </c>
      <c r="F22" s="331"/>
      <c r="G22" s="332">
        <v>1.0429999999999999</v>
      </c>
      <c r="H22" s="333">
        <v>14</v>
      </c>
      <c r="I22" s="292">
        <f t="shared" si="0"/>
        <v>890.72199999999998</v>
      </c>
      <c r="J22" s="333" t="s">
        <v>79</v>
      </c>
      <c r="K22" s="330"/>
      <c r="L22" s="333"/>
      <c r="M22" s="343"/>
      <c r="N22" s="344"/>
      <c r="O22" s="338"/>
      <c r="P22" s="719"/>
      <c r="Q22" s="720"/>
      <c r="R22" s="720"/>
      <c r="S22" s="721"/>
    </row>
    <row r="23" spans="1:19" x14ac:dyDescent="0.2">
      <c r="A23" s="668" t="s">
        <v>52</v>
      </c>
      <c r="B23" s="669"/>
      <c r="C23" s="670"/>
      <c r="D23" s="338"/>
      <c r="E23" s="347">
        <f>Concrete!I20</f>
        <v>60</v>
      </c>
      <c r="F23" s="331"/>
      <c r="G23" s="332">
        <v>1.0429999999999999</v>
      </c>
      <c r="H23" s="333">
        <v>18</v>
      </c>
      <c r="I23" s="292">
        <f t="shared" si="0"/>
        <v>1126.44</v>
      </c>
      <c r="J23" s="333" t="s">
        <v>79</v>
      </c>
      <c r="K23" s="330"/>
      <c r="L23" s="333"/>
      <c r="M23" s="343"/>
      <c r="N23" s="344"/>
      <c r="O23" s="338"/>
      <c r="P23" s="719"/>
      <c r="Q23" s="720"/>
      <c r="R23" s="720"/>
      <c r="S23" s="721"/>
    </row>
    <row r="24" spans="1:19" x14ac:dyDescent="0.2">
      <c r="A24" s="668" t="s">
        <v>53</v>
      </c>
      <c r="B24" s="669"/>
      <c r="C24" s="670"/>
      <c r="D24" s="338"/>
      <c r="E24" s="330">
        <f>Concrete!I21</f>
        <v>104</v>
      </c>
      <c r="F24" s="331"/>
      <c r="G24" s="332">
        <v>1.0429999999999999</v>
      </c>
      <c r="H24" s="333">
        <v>20</v>
      </c>
      <c r="I24" s="292">
        <f t="shared" si="0"/>
        <v>2169.44</v>
      </c>
      <c r="J24" s="333" t="s">
        <v>79</v>
      </c>
      <c r="K24" s="330"/>
      <c r="L24" s="333"/>
      <c r="M24" s="343"/>
      <c r="N24" s="344"/>
      <c r="O24" s="338"/>
      <c r="P24" s="719"/>
      <c r="Q24" s="720"/>
      <c r="R24" s="720"/>
      <c r="S24" s="721"/>
    </row>
    <row r="25" spans="1:19" x14ac:dyDescent="0.2">
      <c r="A25" s="668" t="s">
        <v>54</v>
      </c>
      <c r="B25" s="669"/>
      <c r="C25" s="670"/>
      <c r="D25" s="338"/>
      <c r="E25" s="485">
        <f>Concrete!I22</f>
        <v>54</v>
      </c>
      <c r="F25" s="331"/>
      <c r="G25" s="332">
        <v>1.0429999999999999</v>
      </c>
      <c r="H25" s="333">
        <v>22</v>
      </c>
      <c r="I25" s="292">
        <f t="shared" si="0"/>
        <v>1239.0839999999998</v>
      </c>
      <c r="J25" s="333" t="s">
        <v>79</v>
      </c>
      <c r="K25" s="330"/>
      <c r="L25" s="333"/>
      <c r="M25" s="343"/>
      <c r="N25" s="344"/>
      <c r="O25" s="338"/>
      <c r="P25" s="719"/>
      <c r="Q25" s="720"/>
      <c r="R25" s="720"/>
      <c r="S25" s="721"/>
    </row>
    <row r="26" spans="1:19" ht="15" x14ac:dyDescent="0.25">
      <c r="A26" s="731" t="s">
        <v>14</v>
      </c>
      <c r="B26" s="732"/>
      <c r="C26" s="733"/>
      <c r="D26" s="338"/>
      <c r="E26" s="330"/>
      <c r="F26" s="331"/>
      <c r="G26" s="332"/>
      <c r="H26" s="333"/>
      <c r="I26" s="330">
        <f>SUM(I19:I25)</f>
        <v>9737.4480000000003</v>
      </c>
      <c r="J26" s="333" t="s">
        <v>79</v>
      </c>
      <c r="K26" s="330"/>
      <c r="L26" s="333"/>
      <c r="M26" s="339">
        <f>I26</f>
        <v>9737.4480000000003</v>
      </c>
      <c r="N26" s="336" t="s">
        <v>79</v>
      </c>
      <c r="O26" s="564" t="s">
        <v>745</v>
      </c>
      <c r="P26" s="719"/>
      <c r="Q26" s="720"/>
      <c r="R26" s="720"/>
      <c r="S26" s="721"/>
    </row>
    <row r="27" spans="1:19" x14ac:dyDescent="0.2">
      <c r="A27" s="719"/>
      <c r="B27" s="720"/>
      <c r="C27" s="721"/>
      <c r="D27" s="338"/>
      <c r="E27" s="330"/>
      <c r="F27" s="331"/>
      <c r="G27" s="332"/>
      <c r="H27" s="333"/>
      <c r="I27" s="330"/>
      <c r="J27" s="333"/>
      <c r="K27" s="330"/>
      <c r="L27" s="333"/>
      <c r="M27" s="343"/>
      <c r="N27" s="344"/>
      <c r="O27" s="338"/>
      <c r="P27" s="719"/>
      <c r="Q27" s="720"/>
      <c r="R27" s="720"/>
      <c r="S27" s="721"/>
    </row>
    <row r="28" spans="1:19" ht="15" x14ac:dyDescent="0.25">
      <c r="A28" s="734" t="s">
        <v>78</v>
      </c>
      <c r="B28" s="735"/>
      <c r="C28" s="736"/>
      <c r="D28" s="564" t="s">
        <v>62</v>
      </c>
      <c r="E28" s="330"/>
      <c r="F28" s="331"/>
      <c r="G28" s="332"/>
      <c r="H28" s="333"/>
      <c r="I28" s="330"/>
      <c r="J28" s="333"/>
      <c r="K28" s="330"/>
      <c r="L28" s="333"/>
      <c r="M28" s="343"/>
      <c r="N28" s="344"/>
      <c r="O28" s="338"/>
      <c r="P28" s="719"/>
      <c r="Q28" s="720"/>
      <c r="R28" s="720"/>
      <c r="S28" s="721"/>
    </row>
    <row r="29" spans="1:19" x14ac:dyDescent="0.2">
      <c r="A29" s="668" t="s">
        <v>33</v>
      </c>
      <c r="B29" s="669"/>
      <c r="C29" s="670"/>
      <c r="D29" s="338"/>
      <c r="E29" s="330">
        <v>4</v>
      </c>
      <c r="F29" s="331">
        <v>4</v>
      </c>
      <c r="G29" s="332">
        <v>1.0429999999999999</v>
      </c>
      <c r="H29" s="333">
        <v>20</v>
      </c>
      <c r="I29" s="330">
        <f t="shared" ref="I29:I34" si="1">E29*F29*G29*H29</f>
        <v>333.76</v>
      </c>
      <c r="J29" s="333" t="s">
        <v>79</v>
      </c>
      <c r="K29" s="330"/>
      <c r="L29" s="333"/>
      <c r="M29" s="343"/>
      <c r="N29" s="344"/>
      <c r="O29" s="338"/>
      <c r="P29" s="719"/>
      <c r="Q29" s="720"/>
      <c r="R29" s="720"/>
      <c r="S29" s="721"/>
    </row>
    <row r="30" spans="1:19" x14ac:dyDescent="0.2">
      <c r="A30" s="668" t="s">
        <v>34</v>
      </c>
      <c r="B30" s="669"/>
      <c r="C30" s="670"/>
      <c r="D30" s="338"/>
      <c r="E30" s="330">
        <v>6</v>
      </c>
      <c r="F30" s="331">
        <v>6</v>
      </c>
      <c r="G30" s="332">
        <v>1.0429999999999999</v>
      </c>
      <c r="H30" s="333">
        <v>28</v>
      </c>
      <c r="I30" s="330">
        <f t="shared" si="1"/>
        <v>1051.3439999999998</v>
      </c>
      <c r="J30" s="333" t="s">
        <v>79</v>
      </c>
      <c r="K30" s="330"/>
      <c r="L30" s="333"/>
      <c r="M30" s="343"/>
      <c r="N30" s="344"/>
      <c r="O30" s="338"/>
      <c r="P30" s="719"/>
      <c r="Q30" s="720"/>
      <c r="R30" s="720"/>
      <c r="S30" s="721"/>
    </row>
    <row r="31" spans="1:19" x14ac:dyDescent="0.2">
      <c r="A31" s="668" t="s">
        <v>35</v>
      </c>
      <c r="B31" s="669"/>
      <c r="C31" s="670"/>
      <c r="D31" s="22"/>
      <c r="E31" s="330">
        <v>6.5</v>
      </c>
      <c r="F31" s="331">
        <v>6.5</v>
      </c>
      <c r="G31" s="332">
        <v>1.0429999999999999</v>
      </c>
      <c r="H31" s="333">
        <v>36</v>
      </c>
      <c r="I31" s="330">
        <f t="shared" si="1"/>
        <v>1586.403</v>
      </c>
      <c r="J31" s="333" t="s">
        <v>79</v>
      </c>
      <c r="K31" s="330"/>
      <c r="L31" s="333"/>
      <c r="M31" s="343"/>
      <c r="N31" s="344"/>
      <c r="O31" s="338"/>
      <c r="P31" s="719"/>
      <c r="Q31" s="720"/>
      <c r="R31" s="720"/>
      <c r="S31" s="721"/>
    </row>
    <row r="32" spans="1:19" ht="13.5" thickBot="1" x14ac:dyDescent="0.25">
      <c r="A32" s="609" t="s">
        <v>36</v>
      </c>
      <c r="B32" s="610"/>
      <c r="C32" s="611"/>
      <c r="D32" s="338"/>
      <c r="E32" s="330">
        <v>8</v>
      </c>
      <c r="F32" s="331">
        <v>8</v>
      </c>
      <c r="G32" s="332">
        <v>1.0429999999999999</v>
      </c>
      <c r="H32" s="333">
        <v>32</v>
      </c>
      <c r="I32" s="330">
        <f t="shared" si="1"/>
        <v>2136.0639999999999</v>
      </c>
      <c r="J32" s="333" t="s">
        <v>79</v>
      </c>
      <c r="K32" s="499"/>
      <c r="L32" s="24"/>
      <c r="M32" s="343"/>
      <c r="N32" s="344"/>
      <c r="O32" s="338"/>
      <c r="P32" s="719"/>
      <c r="Q32" s="720"/>
      <c r="R32" s="720"/>
      <c r="S32" s="721"/>
    </row>
    <row r="33" spans="1:19" ht="13.5" thickTop="1" x14ac:dyDescent="0.2">
      <c r="A33" s="668" t="s">
        <v>37</v>
      </c>
      <c r="B33" s="669"/>
      <c r="C33" s="670"/>
      <c r="D33" s="338"/>
      <c r="E33" s="330">
        <v>10</v>
      </c>
      <c r="F33" s="331">
        <v>6</v>
      </c>
      <c r="G33" s="332">
        <v>1.0429999999999999</v>
      </c>
      <c r="H33" s="333">
        <v>32</v>
      </c>
      <c r="I33" s="330">
        <f t="shared" si="1"/>
        <v>2002.56</v>
      </c>
      <c r="J33" s="333" t="s">
        <v>79</v>
      </c>
      <c r="K33" s="26"/>
      <c r="L33" s="333"/>
      <c r="M33" s="341"/>
      <c r="N33" s="33"/>
      <c r="O33" s="338"/>
      <c r="P33" s="719"/>
      <c r="Q33" s="720"/>
      <c r="R33" s="720"/>
      <c r="S33" s="721"/>
    </row>
    <row r="34" spans="1:19" x14ac:dyDescent="0.2">
      <c r="A34" s="668" t="s">
        <v>38</v>
      </c>
      <c r="B34" s="669"/>
      <c r="C34" s="670"/>
      <c r="D34" s="338"/>
      <c r="E34" s="330">
        <v>11</v>
      </c>
      <c r="F34" s="331">
        <v>7</v>
      </c>
      <c r="G34" s="332">
        <v>1.0429999999999999</v>
      </c>
      <c r="H34" s="333">
        <v>36</v>
      </c>
      <c r="I34" s="330">
        <f t="shared" si="1"/>
        <v>2891.1959999999999</v>
      </c>
      <c r="J34" s="333" t="s">
        <v>79</v>
      </c>
      <c r="K34" s="330"/>
      <c r="L34" s="333"/>
      <c r="M34" s="343"/>
      <c r="N34" s="344"/>
      <c r="O34" s="338"/>
      <c r="P34" s="719"/>
      <c r="Q34" s="720"/>
      <c r="R34" s="720"/>
      <c r="S34" s="721"/>
    </row>
    <row r="35" spans="1:19" ht="15" x14ac:dyDescent="0.25">
      <c r="A35" s="744" t="s">
        <v>14</v>
      </c>
      <c r="B35" s="745"/>
      <c r="C35" s="746"/>
      <c r="D35" s="338"/>
      <c r="E35" s="330"/>
      <c r="F35" s="331"/>
      <c r="G35" s="332"/>
      <c r="H35" s="333"/>
      <c r="I35" s="330">
        <f>SUM(I29:I34)</f>
        <v>10001.326999999999</v>
      </c>
      <c r="J35" s="333" t="s">
        <v>79</v>
      </c>
      <c r="K35" s="330"/>
      <c r="L35" s="333"/>
      <c r="M35" s="339">
        <f>I35</f>
        <v>10001.326999999999</v>
      </c>
      <c r="N35" s="336" t="s">
        <v>79</v>
      </c>
      <c r="O35" s="564" t="s">
        <v>745</v>
      </c>
      <c r="P35" s="719"/>
      <c r="Q35" s="720"/>
      <c r="R35" s="720"/>
      <c r="S35" s="721"/>
    </row>
    <row r="36" spans="1:19" x14ac:dyDescent="0.2">
      <c r="A36" s="740"/>
      <c r="B36" s="654"/>
      <c r="C36" s="741"/>
      <c r="D36" s="338"/>
      <c r="E36" s="330"/>
      <c r="F36" s="331"/>
      <c r="G36" s="332"/>
      <c r="H36" s="333"/>
      <c r="I36" s="330"/>
      <c r="J36" s="333"/>
      <c r="K36" s="330"/>
      <c r="L36" s="333"/>
      <c r="M36" s="343"/>
      <c r="N36" s="344"/>
      <c r="O36" s="338"/>
      <c r="P36" s="719"/>
      <c r="Q36" s="720"/>
      <c r="R36" s="720"/>
      <c r="S36" s="721"/>
    </row>
    <row r="37" spans="1:19" x14ac:dyDescent="0.2">
      <c r="A37" s="737" t="s">
        <v>25</v>
      </c>
      <c r="B37" s="738"/>
      <c r="C37" s="739"/>
      <c r="D37" s="338" t="s">
        <v>62</v>
      </c>
      <c r="E37" s="330"/>
      <c r="F37" s="331"/>
      <c r="G37" s="332"/>
      <c r="H37" s="333"/>
      <c r="I37" s="347"/>
      <c r="J37" s="333"/>
      <c r="K37" s="330"/>
      <c r="L37" s="333"/>
      <c r="M37" s="343"/>
      <c r="N37" s="344"/>
      <c r="O37" s="338"/>
      <c r="P37" s="719"/>
      <c r="Q37" s="720"/>
      <c r="R37" s="720"/>
      <c r="S37" s="721"/>
    </row>
    <row r="38" spans="1:19" x14ac:dyDescent="0.2">
      <c r="A38" s="683" t="s">
        <v>26</v>
      </c>
      <c r="B38" s="684"/>
      <c r="C38" s="685"/>
      <c r="D38" s="338"/>
      <c r="E38" s="330">
        <v>46</v>
      </c>
      <c r="F38" s="331"/>
      <c r="G38" s="332">
        <v>1.0429999999999999</v>
      </c>
      <c r="H38" s="333">
        <v>5</v>
      </c>
      <c r="I38" s="330">
        <f>E38*G38*H38</f>
        <v>239.89</v>
      </c>
      <c r="J38" s="333"/>
      <c r="K38" s="330"/>
      <c r="L38" s="333"/>
      <c r="M38" s="343"/>
      <c r="N38" s="344"/>
      <c r="O38" s="338"/>
      <c r="P38" s="719"/>
      <c r="Q38" s="720"/>
      <c r="R38" s="720"/>
      <c r="S38" s="721"/>
    </row>
    <row r="39" spans="1:19" x14ac:dyDescent="0.2">
      <c r="A39" s="683" t="s">
        <v>27</v>
      </c>
      <c r="B39" s="684"/>
      <c r="C39" s="685"/>
      <c r="D39" s="338"/>
      <c r="E39" s="330">
        <v>57</v>
      </c>
      <c r="F39" s="331"/>
      <c r="G39" s="332">
        <v>1.0429999999999999</v>
      </c>
      <c r="H39" s="333">
        <v>12</v>
      </c>
      <c r="I39" s="330">
        <f t="shared" ref="I39:I47" si="2">E39*G39*H39</f>
        <v>713.41199999999992</v>
      </c>
      <c r="J39" s="333"/>
      <c r="K39" s="330"/>
      <c r="L39" s="333"/>
      <c r="M39" s="343"/>
      <c r="N39" s="344"/>
      <c r="O39" s="338"/>
      <c r="P39" s="719"/>
      <c r="Q39" s="720"/>
      <c r="R39" s="720"/>
      <c r="S39" s="721"/>
    </row>
    <row r="40" spans="1:19" x14ac:dyDescent="0.2">
      <c r="A40" s="683" t="s">
        <v>28</v>
      </c>
      <c r="B40" s="684"/>
      <c r="C40" s="685"/>
      <c r="D40" s="338"/>
      <c r="E40" s="330">
        <v>73</v>
      </c>
      <c r="F40" s="331"/>
      <c r="G40" s="332">
        <v>1.0429999999999999</v>
      </c>
      <c r="H40" s="333">
        <v>5</v>
      </c>
      <c r="I40" s="330">
        <f t="shared" si="2"/>
        <v>380.69499999999999</v>
      </c>
      <c r="J40" s="333"/>
      <c r="K40" s="330"/>
      <c r="L40" s="333"/>
      <c r="M40" s="343"/>
      <c r="N40" s="344"/>
      <c r="O40" s="338"/>
      <c r="P40" s="719"/>
      <c r="Q40" s="720"/>
      <c r="R40" s="720"/>
      <c r="S40" s="721"/>
    </row>
    <row r="41" spans="1:19" x14ac:dyDescent="0.2">
      <c r="A41" s="680" t="s">
        <v>55</v>
      </c>
      <c r="B41" s="681"/>
      <c r="C41" s="682"/>
      <c r="D41" s="338"/>
      <c r="E41" s="330">
        <v>38</v>
      </c>
      <c r="F41" s="331"/>
      <c r="G41" s="332">
        <v>1.0429999999999999</v>
      </c>
      <c r="H41" s="333">
        <v>4</v>
      </c>
      <c r="I41" s="330">
        <f t="shared" si="2"/>
        <v>158.536</v>
      </c>
      <c r="J41" s="333"/>
      <c r="K41" s="330"/>
      <c r="L41" s="333"/>
      <c r="M41" s="343"/>
      <c r="N41" s="344"/>
      <c r="O41" s="338"/>
      <c r="P41" s="719"/>
      <c r="Q41" s="720"/>
      <c r="R41" s="720"/>
      <c r="S41" s="721"/>
    </row>
    <row r="42" spans="1:19" x14ac:dyDescent="0.2">
      <c r="A42" s="609" t="s">
        <v>29</v>
      </c>
      <c r="B42" s="610"/>
      <c r="C42" s="611"/>
      <c r="D42" s="338"/>
      <c r="E42" s="330">
        <v>69</v>
      </c>
      <c r="F42" s="331"/>
      <c r="G42" s="332">
        <v>1.0429999999999999</v>
      </c>
      <c r="H42" s="333">
        <v>5</v>
      </c>
      <c r="I42" s="330">
        <f t="shared" si="2"/>
        <v>359.83499999999998</v>
      </c>
      <c r="J42" s="333"/>
      <c r="K42" s="330"/>
      <c r="L42" s="333"/>
      <c r="M42" s="343"/>
      <c r="N42" s="344"/>
      <c r="O42" s="338"/>
      <c r="P42" s="719"/>
      <c r="Q42" s="720"/>
      <c r="R42" s="720"/>
      <c r="S42" s="721"/>
    </row>
    <row r="43" spans="1:19" x14ac:dyDescent="0.2">
      <c r="A43" s="668" t="s">
        <v>30</v>
      </c>
      <c r="B43" s="669"/>
      <c r="C43" s="670"/>
      <c r="D43" s="338"/>
      <c r="E43" s="330">
        <v>45</v>
      </c>
      <c r="F43" s="331"/>
      <c r="G43" s="332">
        <v>1.0429999999999999</v>
      </c>
      <c r="H43" s="333">
        <v>8</v>
      </c>
      <c r="I43" s="330">
        <f t="shared" si="2"/>
        <v>375.47999999999996</v>
      </c>
      <c r="J43" s="333"/>
      <c r="K43" s="330"/>
      <c r="L43" s="333"/>
      <c r="M43" s="343"/>
      <c r="N43" s="344"/>
      <c r="O43" s="338"/>
      <c r="P43" s="719"/>
      <c r="Q43" s="720"/>
      <c r="R43" s="720"/>
      <c r="S43" s="721"/>
    </row>
    <row r="44" spans="1:19" x14ac:dyDescent="0.2">
      <c r="A44" s="668" t="s">
        <v>56</v>
      </c>
      <c r="B44" s="669"/>
      <c r="C44" s="670"/>
      <c r="D44" s="338"/>
      <c r="E44" s="330">
        <v>50</v>
      </c>
      <c r="F44" s="331"/>
      <c r="G44" s="332">
        <v>1.0429999999999999</v>
      </c>
      <c r="H44" s="333">
        <v>5</v>
      </c>
      <c r="I44" s="330">
        <f t="shared" si="2"/>
        <v>260.75</v>
      </c>
      <c r="J44" s="24"/>
      <c r="K44" s="330"/>
      <c r="L44" s="333"/>
      <c r="M44" s="343"/>
      <c r="N44" s="344"/>
      <c r="O44" s="338"/>
      <c r="P44" s="719"/>
      <c r="Q44" s="720"/>
      <c r="R44" s="720"/>
      <c r="S44" s="721"/>
    </row>
    <row r="45" spans="1:19" x14ac:dyDescent="0.2">
      <c r="A45" s="668" t="s">
        <v>31</v>
      </c>
      <c r="B45" s="669"/>
      <c r="C45" s="670"/>
      <c r="D45" s="338"/>
      <c r="E45" s="330">
        <v>129</v>
      </c>
      <c r="F45" s="331"/>
      <c r="G45" s="332">
        <v>1.0429999999999999</v>
      </c>
      <c r="H45" s="333">
        <v>1</v>
      </c>
      <c r="I45" s="330">
        <f t="shared" si="2"/>
        <v>134.547</v>
      </c>
      <c r="J45" s="333"/>
      <c r="K45" s="330"/>
      <c r="L45" s="333"/>
      <c r="M45" s="343"/>
      <c r="N45" s="344"/>
      <c r="O45" s="338"/>
      <c r="P45" s="719"/>
      <c r="Q45" s="720"/>
      <c r="R45" s="720"/>
      <c r="S45" s="721"/>
    </row>
    <row r="46" spans="1:19" x14ac:dyDescent="0.2">
      <c r="A46" s="668" t="s">
        <v>32</v>
      </c>
      <c r="B46" s="669"/>
      <c r="C46" s="670"/>
      <c r="D46" s="338"/>
      <c r="E46" s="330">
        <v>8</v>
      </c>
      <c r="F46" s="331"/>
      <c r="G46" s="332">
        <v>1.0429999999999999</v>
      </c>
      <c r="H46" s="333">
        <v>1</v>
      </c>
      <c r="I46" s="330">
        <f t="shared" si="2"/>
        <v>8.3439999999999994</v>
      </c>
      <c r="J46" s="333"/>
      <c r="K46" s="330"/>
      <c r="L46" s="333"/>
      <c r="M46" s="343"/>
      <c r="N46" s="344"/>
      <c r="O46" s="338"/>
      <c r="P46" s="719"/>
      <c r="Q46" s="720"/>
      <c r="R46" s="720"/>
      <c r="S46" s="721"/>
    </row>
    <row r="47" spans="1:19" x14ac:dyDescent="0.2">
      <c r="A47" s="609" t="s">
        <v>57</v>
      </c>
      <c r="B47" s="610"/>
      <c r="C47" s="611"/>
      <c r="D47" s="338"/>
      <c r="E47" s="330">
        <v>234</v>
      </c>
      <c r="F47" s="331"/>
      <c r="G47" s="332">
        <v>0.376</v>
      </c>
      <c r="H47" s="333">
        <v>2</v>
      </c>
      <c r="I47" s="330">
        <f t="shared" si="2"/>
        <v>175.96799999999999</v>
      </c>
      <c r="J47" s="333"/>
      <c r="K47" s="330"/>
      <c r="L47" s="333"/>
      <c r="M47" s="343"/>
      <c r="N47" s="344"/>
      <c r="O47" s="338"/>
      <c r="P47" s="719"/>
      <c r="Q47" s="720"/>
      <c r="R47" s="720"/>
      <c r="S47" s="721"/>
    </row>
    <row r="48" spans="1:19" ht="15" x14ac:dyDescent="0.25">
      <c r="A48" s="716" t="s">
        <v>14</v>
      </c>
      <c r="B48" s="701"/>
      <c r="C48" s="702"/>
      <c r="D48" s="338"/>
      <c r="E48" s="330"/>
      <c r="F48" s="331"/>
      <c r="G48" s="281"/>
      <c r="H48" s="333"/>
      <c r="I48" s="347">
        <f>SUM(I38:I47)</f>
        <v>2807.4569999999999</v>
      </c>
      <c r="J48" s="333"/>
      <c r="K48" s="330"/>
      <c r="L48" s="333"/>
      <c r="M48" s="335">
        <f>I48</f>
        <v>2807.4569999999999</v>
      </c>
      <c r="N48" s="336" t="s">
        <v>79</v>
      </c>
      <c r="O48" s="564" t="s">
        <v>745</v>
      </c>
      <c r="P48" s="719"/>
      <c r="Q48" s="720"/>
      <c r="R48" s="720"/>
      <c r="S48" s="721"/>
    </row>
    <row r="49" spans="1:19" x14ac:dyDescent="0.2">
      <c r="A49" s="740"/>
      <c r="B49" s="654"/>
      <c r="C49" s="741"/>
      <c r="D49" s="338"/>
      <c r="E49" s="330"/>
      <c r="F49" s="331"/>
      <c r="G49" s="332"/>
      <c r="H49" s="333"/>
      <c r="I49" s="330"/>
      <c r="J49" s="333"/>
      <c r="K49" s="330"/>
      <c r="L49" s="333"/>
      <c r="M49" s="343"/>
      <c r="N49" s="344"/>
      <c r="O49" s="338"/>
      <c r="P49" s="719"/>
      <c r="Q49" s="720"/>
      <c r="R49" s="720"/>
      <c r="S49" s="721"/>
    </row>
    <row r="50" spans="1:19" x14ac:dyDescent="0.2">
      <c r="A50" s="737" t="s">
        <v>80</v>
      </c>
      <c r="B50" s="738"/>
      <c r="C50" s="739"/>
      <c r="D50" s="338" t="s">
        <v>62</v>
      </c>
      <c r="E50" s="330"/>
      <c r="F50" s="331"/>
      <c r="G50" s="332"/>
      <c r="H50" s="333"/>
      <c r="I50" s="330"/>
      <c r="J50" s="333"/>
      <c r="K50" s="330"/>
      <c r="L50" s="333"/>
      <c r="M50" s="343"/>
      <c r="N50" s="344"/>
      <c r="O50" s="338"/>
      <c r="P50" s="719"/>
      <c r="Q50" s="720"/>
      <c r="R50" s="720"/>
      <c r="S50" s="721"/>
    </row>
    <row r="51" spans="1:19" ht="13.5" thickBot="1" x14ac:dyDescent="0.25">
      <c r="A51" s="683" t="s">
        <v>82</v>
      </c>
      <c r="B51" s="684"/>
      <c r="C51" s="685"/>
      <c r="D51" s="338"/>
      <c r="E51" s="330">
        <v>31.5</v>
      </c>
      <c r="F51" s="331"/>
      <c r="G51" s="332">
        <v>1.0429999999999999</v>
      </c>
      <c r="H51" s="333">
        <v>118</v>
      </c>
      <c r="I51" s="330">
        <f>E51*G51*H51</f>
        <v>3876.8309999999992</v>
      </c>
      <c r="J51" s="333"/>
      <c r="K51" s="489"/>
      <c r="L51" s="24"/>
      <c r="M51" s="343"/>
      <c r="N51" s="344"/>
      <c r="O51" s="338"/>
      <c r="P51" s="719" t="s">
        <v>81</v>
      </c>
      <c r="Q51" s="720"/>
      <c r="R51" s="720"/>
      <c r="S51" s="721"/>
    </row>
    <row r="52" spans="1:19" ht="13.5" thickTop="1" x14ac:dyDescent="0.2">
      <c r="A52" s="683" t="s">
        <v>83</v>
      </c>
      <c r="B52" s="684"/>
      <c r="C52" s="685"/>
      <c r="D52" s="338"/>
      <c r="E52" s="330">
        <v>12</v>
      </c>
      <c r="F52" s="331"/>
      <c r="G52" s="332">
        <v>0.66800000000000004</v>
      </c>
      <c r="H52" s="333">
        <v>15.824999999999999</v>
      </c>
      <c r="I52" s="330">
        <f>E52*G52*H52</f>
        <v>126.8532</v>
      </c>
      <c r="J52" s="333"/>
      <c r="K52" s="500"/>
      <c r="L52" s="24"/>
      <c r="M52" s="343"/>
      <c r="N52" s="344"/>
      <c r="O52" s="338"/>
      <c r="P52" s="719"/>
      <c r="Q52" s="720"/>
      <c r="R52" s="720"/>
      <c r="S52" s="721"/>
    </row>
    <row r="53" spans="1:19" ht="15" x14ac:dyDescent="0.25">
      <c r="A53" s="731" t="s">
        <v>14</v>
      </c>
      <c r="B53" s="732"/>
      <c r="C53" s="733"/>
      <c r="D53" s="338"/>
      <c r="E53" s="330"/>
      <c r="F53" s="331"/>
      <c r="G53" s="332"/>
      <c r="H53" s="333"/>
      <c r="I53" s="330">
        <f>SUM(I51:I52)</f>
        <v>4003.6841999999992</v>
      </c>
      <c r="J53" s="333"/>
      <c r="K53" s="500"/>
      <c r="L53" s="24"/>
      <c r="M53" s="339">
        <f>I53</f>
        <v>4003.6841999999992</v>
      </c>
      <c r="N53" s="336" t="s">
        <v>79</v>
      </c>
      <c r="O53" s="564" t="s">
        <v>745</v>
      </c>
      <c r="P53" s="719"/>
      <c r="Q53" s="720"/>
      <c r="R53" s="720"/>
      <c r="S53" s="721"/>
    </row>
    <row r="54" spans="1:19" x14ac:dyDescent="0.2">
      <c r="A54" s="680"/>
      <c r="B54" s="681"/>
      <c r="C54" s="682"/>
      <c r="D54" s="338"/>
      <c r="E54" s="330"/>
      <c r="F54" s="331"/>
      <c r="G54" s="332"/>
      <c r="H54" s="333"/>
      <c r="I54" s="330"/>
      <c r="J54" s="333"/>
      <c r="K54" s="500"/>
      <c r="L54" s="24"/>
      <c r="M54" s="343"/>
      <c r="N54" s="344"/>
      <c r="O54" s="338"/>
      <c r="P54" s="719"/>
      <c r="Q54" s="720"/>
      <c r="R54" s="720"/>
      <c r="S54" s="721"/>
    </row>
    <row r="55" spans="1:19" x14ac:dyDescent="0.2">
      <c r="A55" s="609"/>
      <c r="B55" s="610"/>
      <c r="C55" s="611"/>
      <c r="D55" s="338"/>
      <c r="E55" s="330"/>
      <c r="F55" s="331"/>
      <c r="G55" s="332"/>
      <c r="H55" s="333"/>
      <c r="I55" s="330"/>
      <c r="J55" s="333"/>
      <c r="K55" s="26"/>
      <c r="L55" s="333"/>
      <c r="M55" s="341"/>
      <c r="N55" s="33"/>
      <c r="O55" s="338"/>
      <c r="P55" s="719"/>
      <c r="Q55" s="720"/>
      <c r="R55" s="720"/>
      <c r="S55" s="721"/>
    </row>
    <row r="56" spans="1:19" x14ac:dyDescent="0.2">
      <c r="A56" s="668"/>
      <c r="B56" s="669"/>
      <c r="C56" s="670"/>
      <c r="D56" s="338"/>
      <c r="E56" s="330"/>
      <c r="F56" s="331"/>
      <c r="G56" s="332"/>
      <c r="H56" s="333"/>
      <c r="I56" s="330"/>
      <c r="J56" s="333"/>
      <c r="K56" s="26"/>
      <c r="L56" s="333"/>
      <c r="M56" s="341"/>
      <c r="N56" s="33"/>
      <c r="O56" s="338"/>
      <c r="P56" s="719"/>
      <c r="Q56" s="720"/>
      <c r="R56" s="720"/>
      <c r="S56" s="721"/>
    </row>
    <row r="57" spans="1:19" ht="15" x14ac:dyDescent="0.25">
      <c r="A57" s="668" t="s">
        <v>14</v>
      </c>
      <c r="B57" s="669"/>
      <c r="C57" s="670"/>
      <c r="D57" s="338"/>
      <c r="E57" s="330"/>
      <c r="F57" s="331"/>
      <c r="G57" s="332"/>
      <c r="H57" s="333"/>
      <c r="I57" s="330"/>
      <c r="J57" s="333"/>
      <c r="K57" s="330"/>
      <c r="L57" s="333"/>
      <c r="M57" s="339">
        <f>SUM(M26:M56)</f>
        <v>26549.9162</v>
      </c>
      <c r="N57" s="336" t="s">
        <v>79</v>
      </c>
      <c r="O57" s="564" t="s">
        <v>745</v>
      </c>
      <c r="P57" s="719"/>
      <c r="Q57" s="720"/>
      <c r="R57" s="720"/>
      <c r="S57" s="721"/>
    </row>
    <row r="58" spans="1:19" x14ac:dyDescent="0.2">
      <c r="A58" s="609"/>
      <c r="B58" s="610"/>
      <c r="C58" s="611"/>
      <c r="D58" s="338"/>
      <c r="E58" s="330"/>
      <c r="F58" s="331"/>
      <c r="G58" s="332"/>
      <c r="H58" s="333"/>
      <c r="I58" s="330"/>
      <c r="J58" s="333"/>
      <c r="K58" s="330"/>
      <c r="L58" s="333" t="s">
        <v>466</v>
      </c>
      <c r="M58" s="335">
        <f>M57*1.1</f>
        <v>29204.90782</v>
      </c>
      <c r="N58" s="336"/>
      <c r="O58" s="338"/>
      <c r="P58" s="719"/>
      <c r="Q58" s="720"/>
      <c r="R58" s="720"/>
      <c r="S58" s="721"/>
    </row>
    <row r="59" spans="1:19" x14ac:dyDescent="0.2">
      <c r="A59" s="668"/>
      <c r="B59" s="669"/>
      <c r="C59" s="670"/>
      <c r="D59" s="22"/>
      <c r="E59" s="330"/>
      <c r="F59" s="331"/>
      <c r="G59" s="332"/>
      <c r="H59" s="333"/>
      <c r="I59" s="330"/>
      <c r="J59" s="24"/>
      <c r="K59" s="330"/>
      <c r="L59" s="333"/>
      <c r="M59" s="343">
        <f>M58/2000</f>
        <v>14.602453909999999</v>
      </c>
      <c r="N59" s="344"/>
      <c r="O59" s="338"/>
      <c r="P59" s="719"/>
      <c r="Q59" s="720"/>
      <c r="R59" s="720"/>
      <c r="S59" s="721"/>
    </row>
    <row r="60" spans="1:19" x14ac:dyDescent="0.2">
      <c r="A60" s="672"/>
      <c r="B60" s="672"/>
      <c r="C60" s="673"/>
      <c r="D60" s="338"/>
      <c r="E60" s="330"/>
      <c r="F60" s="331"/>
      <c r="G60" s="332"/>
      <c r="H60" s="333"/>
      <c r="I60" s="347"/>
      <c r="J60" s="333"/>
      <c r="K60" s="330"/>
      <c r="L60" s="333"/>
      <c r="M60" s="343"/>
      <c r="N60" s="344"/>
      <c r="O60" s="338"/>
      <c r="P60" s="719"/>
      <c r="Q60" s="720"/>
      <c r="R60" s="720"/>
      <c r="S60" s="721"/>
    </row>
    <row r="61" spans="1:19" ht="15.75" thickBot="1" x14ac:dyDescent="0.3">
      <c r="A61" s="737" t="s">
        <v>469</v>
      </c>
      <c r="B61" s="738"/>
      <c r="C61" s="739"/>
      <c r="D61" s="338"/>
      <c r="E61" s="330"/>
      <c r="F61" s="331"/>
      <c r="G61" s="332"/>
      <c r="H61" s="333"/>
      <c r="I61" s="330"/>
      <c r="J61" s="333"/>
      <c r="K61" s="489"/>
      <c r="L61" s="24"/>
      <c r="M61" s="343">
        <f>Concrete!I36*Concrete!G36</f>
        <v>22566.121666666666</v>
      </c>
      <c r="N61" s="344" t="s">
        <v>470</v>
      </c>
      <c r="O61" s="564" t="s">
        <v>745</v>
      </c>
      <c r="P61" s="719"/>
      <c r="Q61" s="720"/>
      <c r="R61" s="720"/>
      <c r="S61" s="721"/>
    </row>
    <row r="62" spans="1:19" ht="13.5" thickTop="1" x14ac:dyDescent="0.2">
      <c r="A62" s="677"/>
      <c r="B62" s="678"/>
      <c r="C62" s="679"/>
      <c r="D62" s="354"/>
      <c r="E62" s="355"/>
      <c r="F62" s="356"/>
      <c r="G62" s="357"/>
      <c r="H62" s="358"/>
      <c r="I62" s="355"/>
      <c r="J62" s="358"/>
      <c r="K62" s="31"/>
      <c r="L62" s="358"/>
      <c r="M62" s="359"/>
      <c r="N62" s="37"/>
      <c r="O62" s="354"/>
      <c r="P62" s="725"/>
      <c r="Q62" s="726"/>
      <c r="R62" s="726"/>
      <c r="S62" s="727"/>
    </row>
  </sheetData>
  <mergeCells count="121">
    <mergeCell ref="P2:Q2"/>
    <mergeCell ref="P62:S62"/>
    <mergeCell ref="A59:C59"/>
    <mergeCell ref="A58:C58"/>
    <mergeCell ref="A52:C52"/>
    <mergeCell ref="A53:C53"/>
    <mergeCell ref="A54:C54"/>
    <mergeCell ref="A56:C56"/>
    <mergeCell ref="P52:S52"/>
    <mergeCell ref="P53:S53"/>
    <mergeCell ref="P54:S54"/>
    <mergeCell ref="P55:S55"/>
    <mergeCell ref="P57:S57"/>
    <mergeCell ref="P58:S58"/>
    <mergeCell ref="P59:S59"/>
    <mergeCell ref="P60:S60"/>
    <mergeCell ref="P61:S61"/>
    <mergeCell ref="P56:S56"/>
    <mergeCell ref="A57:C57"/>
    <mergeCell ref="A60:C60"/>
    <mergeCell ref="A61:C61"/>
    <mergeCell ref="A62:C62"/>
    <mergeCell ref="P46:S46"/>
    <mergeCell ref="P47:S47"/>
    <mergeCell ref="P48:S48"/>
    <mergeCell ref="P49:S49"/>
    <mergeCell ref="P50:S50"/>
    <mergeCell ref="P51:S51"/>
    <mergeCell ref="P40:S40"/>
    <mergeCell ref="P41:S41"/>
    <mergeCell ref="P42:S42"/>
    <mergeCell ref="P43:S43"/>
    <mergeCell ref="P44:S44"/>
    <mergeCell ref="P45:S45"/>
    <mergeCell ref="P34:S34"/>
    <mergeCell ref="P35:S35"/>
    <mergeCell ref="P36:S36"/>
    <mergeCell ref="P37:S37"/>
    <mergeCell ref="P38:S38"/>
    <mergeCell ref="P39:S39"/>
    <mergeCell ref="P28:S28"/>
    <mergeCell ref="P29:S29"/>
    <mergeCell ref="P30:S30"/>
    <mergeCell ref="P31:S31"/>
    <mergeCell ref="P32:S32"/>
    <mergeCell ref="P33:S33"/>
    <mergeCell ref="P22:S22"/>
    <mergeCell ref="P23:S23"/>
    <mergeCell ref="P24:S24"/>
    <mergeCell ref="P25:S25"/>
    <mergeCell ref="P26:S26"/>
    <mergeCell ref="P27:S27"/>
    <mergeCell ref="P16:S16"/>
    <mergeCell ref="P17:S17"/>
    <mergeCell ref="P18:S18"/>
    <mergeCell ref="P19:S19"/>
    <mergeCell ref="P20:S20"/>
    <mergeCell ref="P21:S21"/>
    <mergeCell ref="P11:S11"/>
    <mergeCell ref="P12:S12"/>
    <mergeCell ref="P13:S13"/>
    <mergeCell ref="P14:S14"/>
    <mergeCell ref="P15:S15"/>
    <mergeCell ref="P6:R6"/>
    <mergeCell ref="P7:S7"/>
    <mergeCell ref="P8:S8"/>
    <mergeCell ref="P9:S9"/>
    <mergeCell ref="P10:S10"/>
    <mergeCell ref="A47:C47"/>
    <mergeCell ref="A48:C48"/>
    <mergeCell ref="A49:C49"/>
    <mergeCell ref="A50:C50"/>
    <mergeCell ref="A51:C51"/>
    <mergeCell ref="A55:C55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8:C8"/>
    <mergeCell ref="A9:C9"/>
    <mergeCell ref="A10:C10"/>
    <mergeCell ref="A22:C22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11:C11"/>
    <mergeCell ref="L1:M1"/>
    <mergeCell ref="L2:M2"/>
    <mergeCell ref="D3:F3"/>
    <mergeCell ref="L3:M3"/>
    <mergeCell ref="A4:C4"/>
    <mergeCell ref="D4:F4"/>
    <mergeCell ref="L4:M4"/>
  </mergeCells>
  <hyperlinks>
    <hyperlink ref="D8" r:id="rId1"/>
    <hyperlink ref="D13" r:id="rId2"/>
    <hyperlink ref="D18" r:id="rId3"/>
    <hyperlink ref="D28" r:id="rId4" display="S/502"/>
    <hyperlink ref="O8" location="'Concrete Price'!A1" display="P3"/>
    <hyperlink ref="O14" location="'Concrete Price'!A1" display="P3"/>
    <hyperlink ref="O26" location="'Concrete Price'!A1" display="P3"/>
    <hyperlink ref="O35" location="'Concrete Price'!A1" display="P3"/>
    <hyperlink ref="O48" location="'Concrete Price'!A1" display="P3"/>
    <hyperlink ref="O53" location="'Concrete Price'!A1" display="P3"/>
    <hyperlink ref="O57" location="'Concrete Price'!A1" display="P3"/>
    <hyperlink ref="O61" location="'Concrete Price'!A1" display="P3"/>
    <hyperlink ref="P2" location="'Table of Contents'!A1" display="Table of Contents"/>
  </hyperlinks>
  <pageMargins left="0.7" right="0.7" top="0.75" bottom="0.75" header="0.3" footer="0.3"/>
  <pageSetup orientation="portrait" r:id="rId5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24" activePane="bottomLeft" state="frozen"/>
      <selection pane="bottomLeft" activeCell="F38" sqref="F38"/>
    </sheetView>
  </sheetViews>
  <sheetFormatPr defaultRowHeight="12.75" x14ac:dyDescent="0.2"/>
  <cols>
    <col min="1" max="2" width="2.7109375" style="292" customWidth="1"/>
    <col min="3" max="3" width="20.42578125" style="469" bestFit="1" customWidth="1"/>
    <col min="4" max="4" width="3.7109375" style="292" customWidth="1"/>
    <col min="5" max="5" width="6.7109375" style="292" customWidth="1"/>
    <col min="6" max="6" width="4.140625" style="292" bestFit="1" customWidth="1"/>
    <col min="7" max="8" width="6.7109375" style="292" customWidth="1"/>
    <col min="9" max="9" width="7.42578125" style="292" bestFit="1" customWidth="1"/>
    <col min="10" max="13" width="5.7109375" style="292" customWidth="1"/>
    <col min="14" max="14" width="4" style="292" bestFit="1" customWidth="1"/>
    <col min="15" max="15" width="5.7109375" style="292" customWidth="1"/>
    <col min="16" max="16" width="6.7109375" style="292" customWidth="1"/>
    <col min="17" max="17" width="9.28515625" style="292" bestFit="1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701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669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670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443</v>
      </c>
      <c r="D9" s="575">
        <v>2</v>
      </c>
      <c r="E9" s="476">
        <f>Concrete!M12+1.1</f>
        <v>140.9825925925926</v>
      </c>
      <c r="F9" s="263" t="s">
        <v>444</v>
      </c>
      <c r="G9" s="434">
        <v>110</v>
      </c>
      <c r="H9" s="435">
        <f>G9*E9</f>
        <v>15508.085185185186</v>
      </c>
      <c r="I9" s="436" t="s">
        <v>447</v>
      </c>
      <c r="J9" s="263">
        <v>140</v>
      </c>
      <c r="K9" s="263">
        <f>E9/J9</f>
        <v>1.0070185185185185</v>
      </c>
      <c r="L9" s="263">
        <f>8*K9</f>
        <v>8.0561481481481483</v>
      </c>
      <c r="M9" s="263" t="s">
        <v>399</v>
      </c>
      <c r="N9" s="437">
        <v>1</v>
      </c>
      <c r="O9" s="434">
        <v>25</v>
      </c>
      <c r="P9" s="438">
        <f>O14*L9</f>
        <v>2334.8328562962965</v>
      </c>
      <c r="Q9" s="439" t="s">
        <v>446</v>
      </c>
      <c r="R9" s="434">
        <v>82.2</v>
      </c>
      <c r="S9" s="435">
        <f>R13*K9</f>
        <v>4949.0932111111115</v>
      </c>
      <c r="T9" s="478">
        <f>S9+P9+H9</f>
        <v>22792.011252592594</v>
      </c>
      <c r="U9" s="436">
        <f>T9/E9</f>
        <v>161.66542857142858</v>
      </c>
      <c r="V9" s="441" t="str">
        <f>F9</f>
        <v>cy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/>
      <c r="I10" s="436"/>
      <c r="J10" s="263"/>
      <c r="K10" s="263"/>
      <c r="L10" s="263"/>
      <c r="M10" s="442" t="s">
        <v>400</v>
      </c>
      <c r="N10" s="443">
        <v>6</v>
      </c>
      <c r="O10" s="434">
        <v>17.55</v>
      </c>
      <c r="P10" s="438"/>
      <c r="Q10" s="439" t="s">
        <v>450</v>
      </c>
      <c r="R10" s="434">
        <v>22.4</v>
      </c>
      <c r="S10" s="435"/>
      <c r="T10" s="478"/>
      <c r="U10" s="436"/>
      <c r="V10" s="441"/>
    </row>
    <row r="11" spans="1:24" x14ac:dyDescent="0.2">
      <c r="A11" s="444"/>
      <c r="B11" s="281"/>
      <c r="C11" s="432"/>
      <c r="D11" s="263"/>
      <c r="E11" s="263"/>
      <c r="F11" s="263"/>
      <c r="G11" s="434"/>
      <c r="H11" s="435"/>
      <c r="I11" s="436"/>
      <c r="J11" s="263"/>
      <c r="K11" s="263"/>
      <c r="L11" s="263"/>
      <c r="M11" s="263" t="s">
        <v>445</v>
      </c>
      <c r="N11" s="437">
        <v>2</v>
      </c>
      <c r="O11" s="434">
        <v>21.18</v>
      </c>
      <c r="P11" s="438"/>
      <c r="Q11" s="439" t="s">
        <v>449</v>
      </c>
      <c r="R11" s="434">
        <v>3710</v>
      </c>
      <c r="S11" s="435"/>
      <c r="T11" s="478"/>
      <c r="U11" s="436"/>
      <c r="V11" s="441"/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 t="s">
        <v>401</v>
      </c>
      <c r="N12" s="437">
        <v>2</v>
      </c>
      <c r="O12" s="434">
        <v>23.28</v>
      </c>
      <c r="P12" s="438"/>
      <c r="Q12" s="439" t="s">
        <v>451</v>
      </c>
      <c r="R12" s="434">
        <v>1100</v>
      </c>
      <c r="S12" s="435"/>
      <c r="T12" s="478"/>
      <c r="U12" s="436"/>
      <c r="V12" s="441"/>
    </row>
    <row r="13" spans="1:24" x14ac:dyDescent="0.2">
      <c r="A13" s="431"/>
      <c r="B13" s="281"/>
      <c r="C13" s="432"/>
      <c r="D13" s="263"/>
      <c r="E13" s="263"/>
      <c r="F13" s="263"/>
      <c r="G13" s="434"/>
      <c r="H13" s="435"/>
      <c r="I13" s="436"/>
      <c r="J13" s="263"/>
      <c r="K13" s="263"/>
      <c r="L13" s="263"/>
      <c r="M13" s="263" t="s">
        <v>448</v>
      </c>
      <c r="N13" s="437">
        <v>4</v>
      </c>
      <c r="O13" s="434">
        <v>17.649999999999999</v>
      </c>
      <c r="P13" s="438"/>
      <c r="Q13" s="439"/>
      <c r="R13" s="434">
        <f>SUM(R9:R12)</f>
        <v>4914.6000000000004</v>
      </c>
      <c r="S13" s="435"/>
      <c r="T13" s="478"/>
      <c r="U13" s="436"/>
      <c r="V13" s="441"/>
    </row>
    <row r="14" spans="1:24" x14ac:dyDescent="0.2">
      <c r="A14" s="444"/>
      <c r="B14" s="281"/>
      <c r="C14" s="43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>
        <f>O9+O10*N10+O11*N11+O12*N12+O13*N13</f>
        <v>289.82000000000005</v>
      </c>
      <c r="P14" s="438"/>
      <c r="Q14" s="439"/>
      <c r="R14" s="434"/>
      <c r="S14" s="435"/>
      <c r="T14" s="478"/>
      <c r="U14" s="436"/>
      <c r="V14" s="441"/>
    </row>
    <row r="15" spans="1:24" x14ac:dyDescent="0.2">
      <c r="A15" s="431"/>
      <c r="B15" s="281"/>
      <c r="C15" s="432"/>
      <c r="D15" s="263"/>
      <c r="E15" s="263"/>
      <c r="F15" s="263"/>
      <c r="G15" s="434"/>
      <c r="H15" s="435"/>
      <c r="I15" s="436"/>
      <c r="J15" s="263"/>
      <c r="K15" s="263"/>
      <c r="L15" s="263"/>
      <c r="M15" s="263"/>
      <c r="N15" s="437"/>
      <c r="O15" s="434"/>
      <c r="P15" s="438"/>
      <c r="Q15" s="439"/>
      <c r="R15" s="434"/>
      <c r="S15" s="435"/>
      <c r="T15" s="478"/>
      <c r="U15" s="436"/>
      <c r="V15" s="441"/>
    </row>
    <row r="16" spans="1:24" ht="15" x14ac:dyDescent="0.25">
      <c r="A16" s="431"/>
      <c r="B16" s="281"/>
      <c r="C16" s="432" t="s">
        <v>452</v>
      </c>
      <c r="D16" s="575">
        <v>2</v>
      </c>
      <c r="E16" s="476">
        <f>Concrete!M23+Concrete!M36+Concrete!M45*1.1</f>
        <v>325.1791222993827</v>
      </c>
      <c r="F16" s="263" t="s">
        <v>444</v>
      </c>
      <c r="G16" s="434">
        <v>110</v>
      </c>
      <c r="H16" s="501">
        <f>G16*E16</f>
        <v>35769.703452932095</v>
      </c>
      <c r="I16" s="436" t="s">
        <v>453</v>
      </c>
      <c r="J16" s="263">
        <v>100</v>
      </c>
      <c r="K16" s="263">
        <f>E16/J16</f>
        <v>3.2517912229938268</v>
      </c>
      <c r="L16" s="263">
        <f>8*K16</f>
        <v>26.014329783950615</v>
      </c>
      <c r="M16" s="263" t="s">
        <v>399</v>
      </c>
      <c r="N16" s="437">
        <v>1</v>
      </c>
      <c r="O16" s="434">
        <v>25</v>
      </c>
      <c r="P16" s="438">
        <f>O20*L16</f>
        <v>3176.60980991821</v>
      </c>
      <c r="Q16" s="439" t="s">
        <v>454</v>
      </c>
      <c r="R16" s="434">
        <v>715.6</v>
      </c>
      <c r="S16" s="435">
        <f>R16*K16</f>
        <v>2326.9817991743826</v>
      </c>
      <c r="T16" s="478">
        <f>S16+P16+H16</f>
        <v>41273.295062024685</v>
      </c>
      <c r="U16" s="436">
        <f>T16/E16</f>
        <v>126.92479999999999</v>
      </c>
      <c r="V16" s="441" t="str">
        <f>F16</f>
        <v>cy</v>
      </c>
    </row>
    <row r="17" spans="1:22" x14ac:dyDescent="0.2">
      <c r="A17" s="444"/>
      <c r="B17" s="281"/>
      <c r="C17" s="432"/>
      <c r="D17" s="263"/>
      <c r="E17" s="263"/>
      <c r="F17" s="263"/>
      <c r="G17" s="434"/>
      <c r="H17" s="435"/>
      <c r="I17" s="436"/>
      <c r="J17" s="263"/>
      <c r="K17" s="263"/>
      <c r="L17" s="263"/>
      <c r="M17" s="442" t="s">
        <v>400</v>
      </c>
      <c r="N17" s="443">
        <v>3</v>
      </c>
      <c r="O17" s="434">
        <v>17.55</v>
      </c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432"/>
      <c r="D18" s="263"/>
      <c r="E18" s="263"/>
      <c r="F18" s="263"/>
      <c r="G18" s="434"/>
      <c r="H18" s="435"/>
      <c r="I18" s="436"/>
      <c r="J18" s="263"/>
      <c r="K18" s="263"/>
      <c r="L18" s="263"/>
      <c r="M18" s="263" t="s">
        <v>445</v>
      </c>
      <c r="N18" s="437">
        <v>1</v>
      </c>
      <c r="O18" s="434">
        <v>21.18</v>
      </c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432"/>
      <c r="D19" s="263"/>
      <c r="E19" s="263"/>
      <c r="F19" s="263"/>
      <c r="G19" s="434"/>
      <c r="H19" s="435"/>
      <c r="I19" s="436"/>
      <c r="J19" s="263"/>
      <c r="K19" s="263"/>
      <c r="L19" s="263"/>
      <c r="M19" s="263" t="s">
        <v>401</v>
      </c>
      <c r="N19" s="437">
        <v>1</v>
      </c>
      <c r="O19" s="434">
        <v>23.28</v>
      </c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43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>
        <f>O16+O17*N17+O18+O19</f>
        <v>122.11000000000001</v>
      </c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43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ht="15" x14ac:dyDescent="0.25">
      <c r="A22" s="431"/>
      <c r="B22" s="281"/>
      <c r="C22" s="432" t="s">
        <v>61</v>
      </c>
      <c r="D22" s="575">
        <v>2</v>
      </c>
      <c r="E22" s="263">
        <f>Concrete!M52</f>
        <v>101.41</v>
      </c>
      <c r="F22" s="263" t="s">
        <v>372</v>
      </c>
      <c r="G22" s="434">
        <v>13.77</v>
      </c>
      <c r="H22" s="435">
        <f>G22*E22</f>
        <v>1396.4157</v>
      </c>
      <c r="I22" s="436" t="s">
        <v>673</v>
      </c>
      <c r="J22" s="263">
        <v>75</v>
      </c>
      <c r="K22" s="263">
        <f>E22/J22</f>
        <v>1.3521333333333332</v>
      </c>
      <c r="L22" s="263">
        <f>8*K22</f>
        <v>10.817066666666665</v>
      </c>
      <c r="M22" s="263" t="s">
        <v>455</v>
      </c>
      <c r="N22" s="437">
        <v>4</v>
      </c>
      <c r="O22" s="434">
        <v>24.55</v>
      </c>
      <c r="P22" s="438">
        <f>L22*N22*O22</f>
        <v>1062.2359466666667</v>
      </c>
      <c r="Q22" s="439"/>
      <c r="R22" s="434"/>
      <c r="S22" s="435"/>
      <c r="T22" s="478">
        <f>S22+P22+H22</f>
        <v>2458.6516466666667</v>
      </c>
      <c r="U22" s="436">
        <f>T22/E22</f>
        <v>24.244666666666667</v>
      </c>
      <c r="V22" s="441" t="str">
        <f>F22</f>
        <v>csf</v>
      </c>
    </row>
    <row r="23" spans="1:22" x14ac:dyDescent="0.2">
      <c r="A23" s="431"/>
      <c r="B23" s="281"/>
      <c r="C23" s="43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ht="15" x14ac:dyDescent="0.25">
      <c r="A24" s="431"/>
      <c r="B24" s="281"/>
      <c r="C24" s="432" t="s">
        <v>64</v>
      </c>
      <c r="D24" s="575">
        <v>3</v>
      </c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ht="15" x14ac:dyDescent="0.25">
      <c r="A25" s="431"/>
      <c r="B25" s="281"/>
      <c r="C25" s="432" t="s">
        <v>456</v>
      </c>
      <c r="D25" s="575">
        <v>3</v>
      </c>
      <c r="E25" s="263">
        <f>'Concrete (2)'!M9</f>
        <v>2610</v>
      </c>
      <c r="F25" s="263" t="s">
        <v>348</v>
      </c>
      <c r="G25" s="434"/>
      <c r="H25" s="435">
        <f>G25*E25</f>
        <v>0</v>
      </c>
      <c r="I25" s="436" t="s">
        <v>457</v>
      </c>
      <c r="J25" s="263">
        <v>1500</v>
      </c>
      <c r="K25" s="263">
        <f>E25/J25</f>
        <v>1.74</v>
      </c>
      <c r="L25" s="263">
        <f>8*K25</f>
        <v>13.92</v>
      </c>
      <c r="M25" s="442" t="s">
        <v>400</v>
      </c>
      <c r="N25" s="443">
        <v>4</v>
      </c>
      <c r="O25" s="434">
        <v>17.55</v>
      </c>
      <c r="P25" s="438">
        <f>O27*L25</f>
        <v>2156.4864000000002</v>
      </c>
      <c r="Q25" s="439" t="s">
        <v>458</v>
      </c>
      <c r="R25" s="434">
        <v>178.4</v>
      </c>
      <c r="S25" s="435">
        <f>R25*K25</f>
        <v>310.416</v>
      </c>
      <c r="T25" s="478">
        <f>S25+P25+H25</f>
        <v>2466.9024000000004</v>
      </c>
      <c r="U25" s="436">
        <f>T25/E25</f>
        <v>0.94517333333333353</v>
      </c>
      <c r="V25" s="441" t="str">
        <f>F25</f>
        <v>sf</v>
      </c>
    </row>
    <row r="26" spans="1:22" x14ac:dyDescent="0.2">
      <c r="A26" s="431"/>
      <c r="B26" s="281"/>
      <c r="C26" s="432"/>
      <c r="D26" s="263"/>
      <c r="E26" s="263"/>
      <c r="F26" s="263"/>
      <c r="G26" s="434"/>
      <c r="H26" s="435"/>
      <c r="I26" s="436"/>
      <c r="J26" s="263"/>
      <c r="K26" s="263"/>
      <c r="L26" s="263"/>
      <c r="M26" s="263" t="s">
        <v>445</v>
      </c>
      <c r="N26" s="437">
        <v>4</v>
      </c>
      <c r="O26" s="434">
        <v>21.18</v>
      </c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43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>
        <f>O25*N25+O26*N26</f>
        <v>154.92000000000002</v>
      </c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43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ht="15" x14ac:dyDescent="0.25">
      <c r="A29" s="431"/>
      <c r="B29" s="281"/>
      <c r="C29" s="432" t="s">
        <v>459</v>
      </c>
      <c r="D29" s="575">
        <v>3</v>
      </c>
      <c r="E29" s="263">
        <f>'Concrete (2)'!M10+'Concrete (2)'!M11</f>
        <v>7531</v>
      </c>
      <c r="F29" s="263" t="s">
        <v>348</v>
      </c>
      <c r="G29" s="434"/>
      <c r="H29" s="435">
        <f>G29*E29</f>
        <v>0</v>
      </c>
      <c r="I29" s="436" t="s">
        <v>460</v>
      </c>
      <c r="J29" s="263">
        <v>7531</v>
      </c>
      <c r="K29" s="263">
        <f>E29/J29</f>
        <v>1</v>
      </c>
      <c r="L29" s="263">
        <f>8*K29</f>
        <v>8</v>
      </c>
      <c r="M29" s="442" t="s">
        <v>400</v>
      </c>
      <c r="N29" s="443">
        <v>4</v>
      </c>
      <c r="O29" s="434">
        <v>17.55</v>
      </c>
      <c r="P29" s="438">
        <f>O31*L29</f>
        <v>1239.3600000000001</v>
      </c>
      <c r="Q29" s="439" t="s">
        <v>461</v>
      </c>
      <c r="R29" s="434">
        <v>196.5</v>
      </c>
      <c r="S29" s="435">
        <f>R31*K29</f>
        <v>544.9</v>
      </c>
      <c r="T29" s="478">
        <f>S29+P29+H29</f>
        <v>1784.2600000000002</v>
      </c>
      <c r="U29" s="436">
        <f>T29/E29</f>
        <v>0.23692205550391718</v>
      </c>
      <c r="V29" s="441" t="str">
        <f>F29</f>
        <v>sf</v>
      </c>
    </row>
    <row r="30" spans="1:22" x14ac:dyDescent="0.2">
      <c r="A30" s="431"/>
      <c r="B30" s="281"/>
      <c r="C30" s="432"/>
      <c r="D30" s="263"/>
      <c r="E30" s="263"/>
      <c r="F30" s="263"/>
      <c r="G30" s="434"/>
      <c r="H30" s="435"/>
      <c r="I30" s="436"/>
      <c r="J30" s="263"/>
      <c r="K30" s="263"/>
      <c r="L30" s="263"/>
      <c r="M30" s="263" t="s">
        <v>445</v>
      </c>
      <c r="N30" s="437">
        <v>4</v>
      </c>
      <c r="O30" s="434">
        <v>21.18</v>
      </c>
      <c r="P30" s="438"/>
      <c r="Q30" s="439" t="s">
        <v>462</v>
      </c>
      <c r="R30" s="434">
        <v>348.4</v>
      </c>
      <c r="S30" s="435"/>
      <c r="T30" s="478"/>
      <c r="U30" s="436"/>
      <c r="V30" s="441"/>
    </row>
    <row r="31" spans="1:22" x14ac:dyDescent="0.2">
      <c r="A31" s="431"/>
      <c r="B31" s="281"/>
      <c r="C31" s="43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>
        <f>O29*N29+O30*N30</f>
        <v>154.92000000000002</v>
      </c>
      <c r="P31" s="438"/>
      <c r="Q31" s="439"/>
      <c r="R31" s="434">
        <f>SUM(R29:R30)</f>
        <v>544.9</v>
      </c>
      <c r="S31" s="435"/>
      <c r="T31" s="478"/>
      <c r="U31" s="436"/>
      <c r="V31" s="441"/>
    </row>
    <row r="32" spans="1:22" x14ac:dyDescent="0.2">
      <c r="A32" s="431"/>
      <c r="B32" s="281"/>
      <c r="C32" s="43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ht="15" x14ac:dyDescent="0.25">
      <c r="A33" s="431"/>
      <c r="B33" s="281"/>
      <c r="C33" s="432" t="s">
        <v>71</v>
      </c>
      <c r="D33" s="575">
        <v>3</v>
      </c>
      <c r="E33" s="263">
        <f>'Concrete (2)'!M16</f>
        <v>2247.34</v>
      </c>
      <c r="F33" s="263" t="s">
        <v>195</v>
      </c>
      <c r="G33" s="434">
        <v>0.05</v>
      </c>
      <c r="H33" s="435">
        <f>G33*E33</f>
        <v>112.36700000000002</v>
      </c>
      <c r="I33" s="436" t="s">
        <v>463</v>
      </c>
      <c r="J33" s="263">
        <v>2247.34</v>
      </c>
      <c r="K33" s="263">
        <f>E33/J33</f>
        <v>1</v>
      </c>
      <c r="L33" s="263">
        <f>8*K33</f>
        <v>8</v>
      </c>
      <c r="M33" s="263" t="s">
        <v>445</v>
      </c>
      <c r="N33" s="437">
        <v>3</v>
      </c>
      <c r="O33" s="434">
        <v>21.18</v>
      </c>
      <c r="P33" s="438">
        <f>O33*N33*L33</f>
        <v>508.32</v>
      </c>
      <c r="Q33" s="439" t="s">
        <v>464</v>
      </c>
      <c r="R33" s="434">
        <v>296</v>
      </c>
      <c r="S33" s="435">
        <f>R33*K33</f>
        <v>296</v>
      </c>
      <c r="T33" s="477">
        <f>S33+P33+H33</f>
        <v>916.6869999999999</v>
      </c>
      <c r="U33" s="436">
        <f>T33/E33</f>
        <v>0.40789867131809154</v>
      </c>
      <c r="V33" s="441" t="str">
        <f>F33</f>
        <v>lf</v>
      </c>
    </row>
    <row r="34" spans="1:22" x14ac:dyDescent="0.2">
      <c r="A34" s="431"/>
      <c r="B34" s="281"/>
      <c r="C34" s="43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43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ht="15" x14ac:dyDescent="0.25">
      <c r="A36" s="431"/>
      <c r="B36" s="281"/>
      <c r="C36" s="432" t="s">
        <v>465</v>
      </c>
      <c r="D36" s="575">
        <v>3</v>
      </c>
      <c r="E36" s="263">
        <f>'Concrete (2)'!M59</f>
        <v>14.602453909999999</v>
      </c>
      <c r="F36" s="263" t="s">
        <v>653</v>
      </c>
      <c r="G36" s="434">
        <v>928.14</v>
      </c>
      <c r="H36" s="435">
        <f>G36*E36</f>
        <v>13553.121572027399</v>
      </c>
      <c r="I36" s="436" t="s">
        <v>467</v>
      </c>
      <c r="J36" s="263">
        <v>2.1</v>
      </c>
      <c r="K36" s="263">
        <f>E36/J36</f>
        <v>6.9535494809523808</v>
      </c>
      <c r="L36" s="263">
        <f>8*K36</f>
        <v>55.628395847619046</v>
      </c>
      <c r="M36" s="263" t="s">
        <v>468</v>
      </c>
      <c r="N36" s="437">
        <v>4</v>
      </c>
      <c r="O36" s="434">
        <v>24.55</v>
      </c>
      <c r="P36" s="438">
        <f>O36*N36*L36</f>
        <v>5462.7084722361906</v>
      </c>
      <c r="Q36" s="439"/>
      <c r="R36" s="434"/>
      <c r="S36" s="435"/>
      <c r="T36" s="478">
        <f>S36+P36+H36</f>
        <v>19015.830044263588</v>
      </c>
      <c r="U36" s="436">
        <f>T36/E36</f>
        <v>1302.2352380952379</v>
      </c>
      <c r="V36" s="441" t="str">
        <f>F36</f>
        <v>ton</v>
      </c>
    </row>
    <row r="37" spans="1:22" x14ac:dyDescent="0.2">
      <c r="A37" s="431"/>
      <c r="B37" s="281"/>
      <c r="C37" s="432"/>
      <c r="D37" s="263"/>
      <c r="E37" s="263"/>
      <c r="F37" s="263"/>
      <c r="G37" s="434"/>
      <c r="H37" s="435">
        <f>G37*E37</f>
        <v>0</v>
      </c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ht="15" x14ac:dyDescent="0.25">
      <c r="A38" s="431"/>
      <c r="B38" s="281"/>
      <c r="C38" s="432" t="s">
        <v>469</v>
      </c>
      <c r="D38" s="575">
        <v>3</v>
      </c>
      <c r="E38" s="263">
        <f>'Concrete (2)'!M61/4</f>
        <v>5641.5304166666665</v>
      </c>
      <c r="F38" s="263" t="s">
        <v>471</v>
      </c>
      <c r="G38" s="434">
        <v>0.85</v>
      </c>
      <c r="H38" s="435">
        <f>G38*E38</f>
        <v>4795.3008541666668</v>
      </c>
      <c r="I38" s="502" t="s">
        <v>472</v>
      </c>
      <c r="J38" s="263">
        <v>400</v>
      </c>
      <c r="K38" s="263">
        <f>E38/J38</f>
        <v>14.103826041666666</v>
      </c>
      <c r="L38" s="263">
        <f>8*K38</f>
        <v>112.83060833333333</v>
      </c>
      <c r="M38" s="263" t="s">
        <v>399</v>
      </c>
      <c r="N38" s="437">
        <v>1</v>
      </c>
      <c r="O38" s="434">
        <v>25</v>
      </c>
      <c r="P38" s="438">
        <f>O41*L38</f>
        <v>19220.694129583331</v>
      </c>
      <c r="Q38" s="439"/>
      <c r="R38" s="434"/>
      <c r="S38" s="435"/>
      <c r="T38" s="478">
        <f>S38+P38+H38</f>
        <v>24015.994983749999</v>
      </c>
      <c r="U38" s="436">
        <f>T38/E38</f>
        <v>4.2569999999999997</v>
      </c>
      <c r="V38" s="441" t="str">
        <f>F38</f>
        <v>sfca</v>
      </c>
    </row>
    <row r="39" spans="1:22" x14ac:dyDescent="0.2">
      <c r="A39" s="431"/>
      <c r="B39" s="281"/>
      <c r="C39" s="432"/>
      <c r="D39" s="263"/>
      <c r="E39" s="263"/>
      <c r="F39" s="263"/>
      <c r="G39" s="434"/>
      <c r="H39" s="435"/>
      <c r="I39" s="436"/>
      <c r="J39" s="263"/>
      <c r="K39" s="263"/>
      <c r="L39" s="263"/>
      <c r="M39" s="263" t="s">
        <v>473</v>
      </c>
      <c r="N39" s="437">
        <v>5</v>
      </c>
      <c r="O39" s="434">
        <v>22.05</v>
      </c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432"/>
      <c r="D40" s="263"/>
      <c r="E40" s="263"/>
      <c r="F40" s="263"/>
      <c r="G40" s="434"/>
      <c r="H40" s="435"/>
      <c r="I40" s="436"/>
      <c r="J40" s="263"/>
      <c r="K40" s="263"/>
      <c r="L40" s="263"/>
      <c r="M40" s="442" t="s">
        <v>400</v>
      </c>
      <c r="N40" s="443">
        <v>2</v>
      </c>
      <c r="O40" s="434">
        <v>17.55</v>
      </c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44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>
        <f>O38+O39*N39+O40*N40</f>
        <v>170.35</v>
      </c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SUM(H8:H41)</f>
        <v>71134.993764311337</v>
      </c>
      <c r="I42" s="462"/>
      <c r="J42" s="463"/>
      <c r="K42" s="461">
        <f>SUM(K8:K41)</f>
        <v>30.408318597464728</v>
      </c>
      <c r="L42" s="461">
        <f>SUM(L8:L41)</f>
        <v>243.26654877971782</v>
      </c>
      <c r="M42" s="462"/>
      <c r="N42" s="464"/>
      <c r="O42" s="463"/>
      <c r="P42" s="461">
        <f>SUM(P8:P41)</f>
        <v>35161.247614700696</v>
      </c>
      <c r="Q42" s="462"/>
      <c r="R42" s="463"/>
      <c r="S42" s="465">
        <f>SUM(S8:S41)</f>
        <v>8427.3910102854934</v>
      </c>
      <c r="T42" s="461">
        <f>SUM(T8:T41)</f>
        <v>114723.63238929755</v>
      </c>
      <c r="U42" s="467" t="s">
        <v>397</v>
      </c>
      <c r="V42" s="468"/>
    </row>
    <row r="43" spans="1:22" x14ac:dyDescent="0.2">
      <c r="C43" s="469" t="s">
        <v>569</v>
      </c>
      <c r="N43" s="470"/>
      <c r="S43" s="471">
        <v>0.3</v>
      </c>
      <c r="T43" s="503">
        <f>T42*1.3</f>
        <v>149140.72210608682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Concrete!A1" display="Concrete!A1"/>
    <hyperlink ref="D16" location="Concrete!A1" display="Concrete!A1"/>
    <hyperlink ref="D22" location="Concrete!A1" display="Concrete!A1"/>
    <hyperlink ref="D24" location="'Concrete (2)'!A1" display="'Concrete (2)'!A1"/>
    <hyperlink ref="D25" location="'Concrete (2)'!A1" display="'Concrete (2)'!A1"/>
    <hyperlink ref="D29" location="'Concrete (2)'!A1" display="'Concrete (2)'!A1"/>
    <hyperlink ref="D33" location="'Concrete (2)'!A1" display="'Concrete (2)'!A1"/>
    <hyperlink ref="D36" location="'Concrete (2)'!A1" display="'Concrete (2)'!A1"/>
    <hyperlink ref="D38" location="'Concrete (2)'!A1" display="'Concrete (2)'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111"/>
  <sheetViews>
    <sheetView zoomScale="115" zoomScaleNormal="115" workbookViewId="0">
      <pane xSplit="14" ySplit="6" topLeftCell="O62" activePane="bottomRight" state="frozen"/>
      <selection pane="topRight" activeCell="O1" sqref="O1"/>
      <selection pane="bottomLeft" activeCell="A7" sqref="A7"/>
      <selection pane="bottomRight" activeCell="A79" sqref="A79:C79"/>
    </sheetView>
  </sheetViews>
  <sheetFormatPr defaultRowHeight="12.75" x14ac:dyDescent="0.2"/>
  <cols>
    <col min="1" max="3" width="9.140625" style="301"/>
    <col min="4" max="16384" width="9.140625" style="292"/>
  </cols>
  <sheetData>
    <row r="1" spans="1:18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702</v>
      </c>
      <c r="M1" s="620"/>
      <c r="N1" s="287"/>
      <c r="O1" s="302"/>
    </row>
    <row r="2" spans="1:18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8" x14ac:dyDescent="0.2">
      <c r="A3" s="303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</row>
    <row r="4" spans="1:18" x14ac:dyDescent="0.2">
      <c r="A4" s="710" t="s">
        <v>18</v>
      </c>
      <c r="B4" s="710"/>
      <c r="C4" s="710"/>
      <c r="D4" s="711" t="s">
        <v>365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</row>
    <row r="5" spans="1:18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313"/>
      <c r="Q5" s="314"/>
      <c r="R5" s="315"/>
    </row>
    <row r="6" spans="1:18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704" t="s">
        <v>40</v>
      </c>
      <c r="Q6" s="705"/>
      <c r="R6" s="706"/>
    </row>
    <row r="7" spans="1:18" x14ac:dyDescent="0.2">
      <c r="A7" s="728"/>
      <c r="B7" s="729"/>
      <c r="C7" s="730"/>
      <c r="D7" s="322"/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707"/>
      <c r="Q7" s="708"/>
      <c r="R7" s="709"/>
    </row>
    <row r="8" spans="1:18" x14ac:dyDescent="0.2">
      <c r="A8" s="694" t="s">
        <v>88</v>
      </c>
      <c r="B8" s="695"/>
      <c r="C8" s="696"/>
      <c r="D8" s="22"/>
      <c r="E8" s="330"/>
      <c r="F8" s="331"/>
      <c r="G8" s="332"/>
      <c r="H8" s="333"/>
      <c r="I8" s="330"/>
      <c r="J8" s="24"/>
      <c r="K8" s="334"/>
      <c r="L8" s="333"/>
      <c r="M8" s="330"/>
      <c r="N8" s="333"/>
      <c r="O8" s="337"/>
      <c r="P8" s="671"/>
      <c r="Q8" s="672"/>
      <c r="R8" s="673"/>
    </row>
    <row r="9" spans="1:18" ht="15" x14ac:dyDescent="0.25">
      <c r="A9" s="668" t="s">
        <v>89</v>
      </c>
      <c r="B9" s="669"/>
      <c r="C9" s="670"/>
      <c r="D9" s="564" t="s">
        <v>92</v>
      </c>
      <c r="E9" s="330"/>
      <c r="F9" s="331"/>
      <c r="G9" s="332"/>
      <c r="H9" s="333"/>
      <c r="I9" s="330">
        <v>3741</v>
      </c>
      <c r="J9" s="333" t="s">
        <v>42</v>
      </c>
      <c r="K9" s="334"/>
      <c r="L9" s="333"/>
      <c r="M9" s="330"/>
      <c r="N9" s="333"/>
      <c r="O9" s="337"/>
      <c r="P9" s="671"/>
      <c r="Q9" s="672"/>
      <c r="R9" s="673"/>
    </row>
    <row r="10" spans="1:18" ht="15" x14ac:dyDescent="0.25">
      <c r="A10" s="668" t="s">
        <v>90</v>
      </c>
      <c r="B10" s="669"/>
      <c r="C10" s="670"/>
      <c r="D10" s="564" t="s">
        <v>93</v>
      </c>
      <c r="E10" s="330"/>
      <c r="F10" s="331"/>
      <c r="G10" s="332"/>
      <c r="H10" s="333"/>
      <c r="I10" s="330">
        <v>3459</v>
      </c>
      <c r="J10" s="333" t="s">
        <v>42</v>
      </c>
      <c r="K10" s="334"/>
      <c r="L10" s="333"/>
      <c r="M10" s="330"/>
      <c r="N10" s="333"/>
      <c r="O10" s="337"/>
      <c r="P10" s="671"/>
      <c r="Q10" s="672"/>
      <c r="R10" s="673"/>
    </row>
    <row r="11" spans="1:18" x14ac:dyDescent="0.2">
      <c r="A11" s="671" t="s">
        <v>91</v>
      </c>
      <c r="B11" s="672"/>
      <c r="C11" s="673"/>
      <c r="D11" s="338"/>
      <c r="E11" s="330"/>
      <c r="F11" s="331"/>
      <c r="G11" s="332"/>
      <c r="H11" s="333"/>
      <c r="I11" s="330">
        <v>840</v>
      </c>
      <c r="J11" s="333" t="s">
        <v>42</v>
      </c>
      <c r="K11" s="334">
        <f>I9+I11+I10</f>
        <v>8040</v>
      </c>
      <c r="L11" s="333"/>
      <c r="M11" s="330"/>
      <c r="N11" s="333"/>
      <c r="O11" s="337"/>
      <c r="P11" s="671"/>
      <c r="Q11" s="672"/>
      <c r="R11" s="673"/>
    </row>
    <row r="12" spans="1:18" ht="15" x14ac:dyDescent="0.25">
      <c r="A12" s="716" t="s">
        <v>107</v>
      </c>
      <c r="B12" s="701"/>
      <c r="C12" s="702"/>
      <c r="D12" s="338"/>
      <c r="E12" s="330"/>
      <c r="F12" s="331"/>
      <c r="G12" s="332"/>
      <c r="H12" s="333"/>
      <c r="I12" s="330"/>
      <c r="J12" s="333"/>
      <c r="K12" s="334" t="s">
        <v>109</v>
      </c>
      <c r="L12" s="333"/>
      <c r="M12" s="504">
        <f>(K11*6.75)/1000</f>
        <v>54.27</v>
      </c>
      <c r="N12" s="336" t="s">
        <v>108</v>
      </c>
      <c r="O12" s="570" t="s">
        <v>746</v>
      </c>
      <c r="P12" s="671"/>
      <c r="Q12" s="672"/>
      <c r="R12" s="673"/>
    </row>
    <row r="13" spans="1:18" x14ac:dyDescent="0.2">
      <c r="A13" s="737" t="s">
        <v>104</v>
      </c>
      <c r="B13" s="738"/>
      <c r="C13" s="739"/>
      <c r="D13" s="338"/>
      <c r="E13" s="330"/>
      <c r="F13" s="331"/>
      <c r="G13" s="332"/>
      <c r="H13" s="333"/>
      <c r="I13" s="330">
        <v>322</v>
      </c>
      <c r="J13" s="340" t="s">
        <v>42</v>
      </c>
      <c r="K13" s="334"/>
      <c r="L13" s="24"/>
      <c r="M13" s="330"/>
      <c r="N13" s="333"/>
      <c r="O13" s="337"/>
      <c r="P13" s="671"/>
      <c r="Q13" s="672"/>
      <c r="R13" s="673"/>
    </row>
    <row r="14" spans="1:18" x14ac:dyDescent="0.2">
      <c r="A14" s="671"/>
      <c r="B14" s="672"/>
      <c r="C14" s="673"/>
      <c r="D14" s="338"/>
      <c r="E14" s="330"/>
      <c r="F14" s="331"/>
      <c r="G14" s="332"/>
      <c r="H14" s="333"/>
      <c r="I14" s="330"/>
      <c r="J14" s="333"/>
      <c r="K14" s="60"/>
      <c r="L14" s="333"/>
      <c r="M14" s="341"/>
      <c r="N14" s="33"/>
      <c r="O14" s="283"/>
      <c r="P14" s="671"/>
      <c r="Q14" s="672"/>
      <c r="R14" s="673"/>
    </row>
    <row r="15" spans="1:18" x14ac:dyDescent="0.2">
      <c r="A15" s="703" t="s">
        <v>112</v>
      </c>
      <c r="B15" s="695"/>
      <c r="C15" s="696"/>
      <c r="D15" s="348"/>
      <c r="E15" s="330"/>
      <c r="F15" s="331"/>
      <c r="G15" s="332"/>
      <c r="H15" s="333"/>
      <c r="I15" s="330"/>
      <c r="J15" s="333"/>
      <c r="K15" s="334"/>
      <c r="L15" s="333"/>
      <c r="M15" s="343"/>
      <c r="N15" s="344"/>
      <c r="O15" s="337"/>
      <c r="P15" s="671"/>
      <c r="Q15" s="672"/>
      <c r="R15" s="673"/>
    </row>
    <row r="16" spans="1:18" ht="15" x14ac:dyDescent="0.25">
      <c r="A16" s="690" t="s">
        <v>116</v>
      </c>
      <c r="B16" s="669"/>
      <c r="C16" s="670"/>
      <c r="D16" s="565" t="s">
        <v>289</v>
      </c>
      <c r="E16" s="330">
        <v>28</v>
      </c>
      <c r="F16" s="331"/>
      <c r="G16" s="332">
        <v>7</v>
      </c>
      <c r="H16" s="333"/>
      <c r="I16" s="330">
        <f>E16*G16</f>
        <v>196</v>
      </c>
      <c r="J16" s="333" t="s">
        <v>42</v>
      </c>
      <c r="K16" s="334"/>
      <c r="L16" s="333"/>
      <c r="M16" s="343"/>
      <c r="N16" s="344"/>
      <c r="O16" s="337"/>
      <c r="P16" s="671"/>
      <c r="Q16" s="672"/>
      <c r="R16" s="673"/>
    </row>
    <row r="17" spans="1:18" x14ac:dyDescent="0.2">
      <c r="A17" s="690" t="s">
        <v>113</v>
      </c>
      <c r="B17" s="669"/>
      <c r="C17" s="670"/>
      <c r="D17" s="348"/>
      <c r="E17" s="330">
        <v>87</v>
      </c>
      <c r="F17" s="331"/>
      <c r="G17" s="332">
        <v>8</v>
      </c>
      <c r="H17" s="333"/>
      <c r="I17" s="330">
        <f>E17*G17</f>
        <v>696</v>
      </c>
      <c r="J17" s="333" t="s">
        <v>42</v>
      </c>
      <c r="K17" s="334"/>
      <c r="L17" s="333"/>
      <c r="M17" s="343"/>
      <c r="N17" s="344"/>
      <c r="O17" s="337"/>
      <c r="P17" s="671"/>
      <c r="Q17" s="672"/>
      <c r="R17" s="673"/>
    </row>
    <row r="18" spans="1:18" x14ac:dyDescent="0.2">
      <c r="A18" s="690" t="s">
        <v>114</v>
      </c>
      <c r="B18" s="669"/>
      <c r="C18" s="670"/>
      <c r="D18" s="285"/>
      <c r="E18" s="330">
        <v>102</v>
      </c>
      <c r="F18" s="331"/>
      <c r="G18" s="332">
        <v>16.75</v>
      </c>
      <c r="H18" s="333"/>
      <c r="I18" s="330">
        <f>E18*G18</f>
        <v>1708.5</v>
      </c>
      <c r="J18" s="333" t="s">
        <v>42</v>
      </c>
      <c r="K18" s="505">
        <f>I16+I17+I18</f>
        <v>2600.5</v>
      </c>
      <c r="L18" s="24" t="s">
        <v>42</v>
      </c>
      <c r="M18" s="343"/>
      <c r="N18" s="344"/>
      <c r="O18" s="337"/>
      <c r="P18" s="671" t="s">
        <v>115</v>
      </c>
      <c r="Q18" s="672"/>
      <c r="R18" s="673"/>
    </row>
    <row r="19" spans="1:18" ht="15" x14ac:dyDescent="0.25">
      <c r="A19" s="700" t="s">
        <v>14</v>
      </c>
      <c r="B19" s="701"/>
      <c r="C19" s="702"/>
      <c r="D19" s="285"/>
      <c r="E19" s="330"/>
      <c r="F19" s="331"/>
      <c r="G19" s="332"/>
      <c r="H19" s="333"/>
      <c r="I19" s="330"/>
      <c r="J19" s="333"/>
      <c r="K19" s="334" t="s">
        <v>366</v>
      </c>
      <c r="L19" s="333"/>
      <c r="M19" s="504">
        <f>K18/1.33</f>
        <v>1955.2631578947367</v>
      </c>
      <c r="N19" s="336" t="s">
        <v>131</v>
      </c>
      <c r="O19" s="570" t="s">
        <v>746</v>
      </c>
      <c r="P19" s="671"/>
      <c r="Q19" s="672"/>
      <c r="R19" s="673"/>
    </row>
    <row r="20" spans="1:18" x14ac:dyDescent="0.2">
      <c r="A20" s="751"/>
      <c r="B20" s="672"/>
      <c r="C20" s="673"/>
      <c r="D20" s="348"/>
      <c r="E20" s="330"/>
      <c r="F20" s="331"/>
      <c r="G20" s="332"/>
      <c r="H20" s="333"/>
      <c r="I20" s="347"/>
      <c r="J20" s="333"/>
      <c r="K20" s="334"/>
      <c r="L20" s="333"/>
      <c r="M20" s="343"/>
      <c r="N20" s="344"/>
      <c r="O20" s="337"/>
      <c r="P20" s="671"/>
      <c r="Q20" s="672"/>
      <c r="R20" s="673"/>
    </row>
    <row r="21" spans="1:18" ht="15" x14ac:dyDescent="0.25">
      <c r="A21" s="750" t="s">
        <v>118</v>
      </c>
      <c r="B21" s="738"/>
      <c r="C21" s="739"/>
      <c r="D21" s="565" t="s">
        <v>92</v>
      </c>
      <c r="E21" s="330"/>
      <c r="F21" s="331"/>
      <c r="G21" s="332"/>
      <c r="H21" s="333"/>
      <c r="I21" s="330"/>
      <c r="J21" s="333"/>
      <c r="K21" s="334"/>
      <c r="L21" s="333"/>
      <c r="M21" s="343"/>
      <c r="N21" s="344"/>
      <c r="O21" s="337"/>
      <c r="P21" s="671"/>
      <c r="Q21" s="672"/>
      <c r="R21" s="673"/>
    </row>
    <row r="22" spans="1:18" x14ac:dyDescent="0.2">
      <c r="A22" s="690" t="s">
        <v>88</v>
      </c>
      <c r="B22" s="669"/>
      <c r="C22" s="670"/>
      <c r="D22" s="348"/>
      <c r="E22" s="330"/>
      <c r="F22" s="331"/>
      <c r="G22" s="332"/>
      <c r="H22" s="333"/>
      <c r="I22" s="330">
        <v>8040</v>
      </c>
      <c r="J22" s="333" t="s">
        <v>42</v>
      </c>
      <c r="K22" s="334"/>
      <c r="L22" s="333"/>
      <c r="M22" s="343"/>
      <c r="N22" s="344"/>
      <c r="O22" s="337"/>
      <c r="P22" s="671"/>
      <c r="Q22" s="672"/>
      <c r="R22" s="673"/>
    </row>
    <row r="23" spans="1:18" x14ac:dyDescent="0.2">
      <c r="A23" s="690" t="s">
        <v>119</v>
      </c>
      <c r="B23" s="669"/>
      <c r="C23" s="670"/>
      <c r="D23" s="348"/>
      <c r="E23" s="330"/>
      <c r="F23" s="331"/>
      <c r="G23" s="332"/>
      <c r="H23" s="333"/>
      <c r="I23" s="330">
        <v>2601</v>
      </c>
      <c r="J23" s="333" t="s">
        <v>42</v>
      </c>
      <c r="K23" s="334"/>
      <c r="L23" s="333"/>
      <c r="M23" s="343"/>
      <c r="N23" s="344"/>
      <c r="O23" s="337"/>
      <c r="P23" s="671"/>
      <c r="Q23" s="672"/>
      <c r="R23" s="673"/>
    </row>
    <row r="24" spans="1:18" ht="15" x14ac:dyDescent="0.25">
      <c r="A24" s="700" t="s">
        <v>14</v>
      </c>
      <c r="B24" s="701"/>
      <c r="C24" s="702"/>
      <c r="D24" s="348"/>
      <c r="E24" s="330"/>
      <c r="F24" s="331"/>
      <c r="G24" s="332"/>
      <c r="H24" s="333"/>
      <c r="I24" s="330">
        <f>SUM(I22:I23)</f>
        <v>10641</v>
      </c>
      <c r="J24" s="333" t="s">
        <v>42</v>
      </c>
      <c r="K24" s="334"/>
      <c r="L24" s="333"/>
      <c r="M24" s="343">
        <f>70</f>
        <v>70</v>
      </c>
      <c r="N24" s="344" t="s">
        <v>483</v>
      </c>
      <c r="O24" s="570" t="s">
        <v>746</v>
      </c>
      <c r="P24" s="671"/>
      <c r="Q24" s="672"/>
      <c r="R24" s="673"/>
    </row>
    <row r="25" spans="1:18" x14ac:dyDescent="0.2">
      <c r="A25" s="690"/>
      <c r="B25" s="669"/>
      <c r="C25" s="670"/>
      <c r="D25" s="348"/>
      <c r="E25" s="330"/>
      <c r="F25" s="331"/>
      <c r="G25" s="332"/>
      <c r="H25" s="333"/>
      <c r="I25" s="347"/>
      <c r="J25" s="333"/>
      <c r="K25" s="334"/>
      <c r="L25" s="333"/>
      <c r="M25" s="343"/>
      <c r="N25" s="344"/>
      <c r="O25" s="337"/>
      <c r="P25" s="671"/>
      <c r="Q25" s="672"/>
      <c r="R25" s="673"/>
    </row>
    <row r="26" spans="1:18" ht="15" x14ac:dyDescent="0.25">
      <c r="A26" s="750" t="s">
        <v>120</v>
      </c>
      <c r="B26" s="738"/>
      <c r="C26" s="739"/>
      <c r="D26" s="567" t="s">
        <v>92</v>
      </c>
      <c r="E26" s="330"/>
      <c r="F26" s="331"/>
      <c r="G26" s="332"/>
      <c r="H26" s="333"/>
      <c r="I26" s="330"/>
      <c r="J26" s="333"/>
      <c r="K26" s="334"/>
      <c r="L26" s="333"/>
      <c r="M26" s="343"/>
      <c r="N26" s="344"/>
      <c r="O26" s="337"/>
      <c r="P26" s="671"/>
      <c r="Q26" s="672"/>
      <c r="R26" s="673"/>
    </row>
    <row r="27" spans="1:18" x14ac:dyDescent="0.2">
      <c r="A27" s="751" t="s">
        <v>121</v>
      </c>
      <c r="B27" s="672"/>
      <c r="C27" s="673"/>
      <c r="D27" s="348"/>
      <c r="E27" s="330">
        <v>681</v>
      </c>
      <c r="F27" s="331"/>
      <c r="G27" s="332">
        <v>2.75</v>
      </c>
      <c r="H27" s="333"/>
      <c r="I27" s="330">
        <f>G27*E27</f>
        <v>1872.75</v>
      </c>
      <c r="J27" s="333" t="s">
        <v>42</v>
      </c>
      <c r="K27" s="334"/>
      <c r="L27" s="333"/>
      <c r="M27" s="343"/>
      <c r="N27" s="344"/>
      <c r="O27" s="337"/>
      <c r="P27" s="671" t="s">
        <v>796</v>
      </c>
      <c r="Q27" s="672"/>
      <c r="R27" s="673"/>
    </row>
    <row r="28" spans="1:18" x14ac:dyDescent="0.2">
      <c r="A28" s="751" t="s">
        <v>122</v>
      </c>
      <c r="B28" s="672"/>
      <c r="C28" s="673"/>
      <c r="D28" s="348"/>
      <c r="E28" s="330">
        <v>2.33</v>
      </c>
      <c r="F28" s="331"/>
      <c r="G28" s="332">
        <v>0.75</v>
      </c>
      <c r="H28" s="333">
        <v>47</v>
      </c>
      <c r="I28" s="485">
        <f>E28*G28*H28</f>
        <v>82.132500000000007</v>
      </c>
      <c r="J28" s="333" t="s">
        <v>42</v>
      </c>
      <c r="K28" s="506">
        <f>I27+I28</f>
        <v>1954.8824999999999</v>
      </c>
      <c r="L28" s="333"/>
      <c r="M28" s="343"/>
      <c r="N28" s="344"/>
      <c r="O28" s="337"/>
      <c r="P28" s="671"/>
      <c r="Q28" s="672"/>
      <c r="R28" s="673"/>
    </row>
    <row r="29" spans="1:18" ht="15" x14ac:dyDescent="0.25">
      <c r="A29" s="700" t="s">
        <v>14</v>
      </c>
      <c r="B29" s="701"/>
      <c r="C29" s="702"/>
      <c r="D29" s="348"/>
      <c r="E29" s="330"/>
      <c r="F29" s="331"/>
      <c r="G29" s="332"/>
      <c r="H29" s="333"/>
      <c r="I29" s="330"/>
      <c r="J29" s="333"/>
      <c r="K29" s="334" t="s">
        <v>123</v>
      </c>
      <c r="L29" s="333"/>
      <c r="M29" s="504">
        <f>K28/27</f>
        <v>72.403055555555554</v>
      </c>
      <c r="N29" s="336" t="s">
        <v>16</v>
      </c>
      <c r="O29" s="570" t="s">
        <v>746</v>
      </c>
      <c r="P29" s="671"/>
      <c r="Q29" s="672"/>
      <c r="R29" s="673"/>
    </row>
    <row r="30" spans="1:18" x14ac:dyDescent="0.2">
      <c r="A30" s="690"/>
      <c r="B30" s="669"/>
      <c r="C30" s="670"/>
      <c r="D30" s="348"/>
      <c r="E30" s="330"/>
      <c r="F30" s="331"/>
      <c r="G30" s="332"/>
      <c r="H30" s="333"/>
      <c r="I30" s="330"/>
      <c r="J30" s="333"/>
      <c r="K30" s="334"/>
      <c r="L30" s="333"/>
      <c r="M30" s="343"/>
      <c r="N30" s="344"/>
      <c r="O30" s="337"/>
      <c r="P30" s="671"/>
      <c r="Q30" s="672"/>
      <c r="R30" s="673"/>
    </row>
    <row r="31" spans="1:18" x14ac:dyDescent="0.2">
      <c r="A31" s="703"/>
      <c r="B31" s="695"/>
      <c r="C31" s="696"/>
      <c r="D31" s="348"/>
      <c r="E31" s="330"/>
      <c r="F31" s="331"/>
      <c r="G31" s="332"/>
      <c r="H31" s="333"/>
      <c r="I31" s="330"/>
      <c r="J31" s="333"/>
      <c r="K31" s="334"/>
      <c r="L31" s="333"/>
      <c r="M31" s="343"/>
      <c r="N31" s="344"/>
      <c r="O31" s="337"/>
      <c r="P31" s="671"/>
      <c r="Q31" s="672"/>
      <c r="R31" s="673"/>
    </row>
    <row r="32" spans="1:18" ht="15" x14ac:dyDescent="0.25">
      <c r="A32" s="690" t="s">
        <v>127</v>
      </c>
      <c r="B32" s="669"/>
      <c r="C32" s="670"/>
      <c r="D32" s="565" t="s">
        <v>92</v>
      </c>
      <c r="E32" s="330"/>
      <c r="F32" s="331"/>
      <c r="G32" s="332"/>
      <c r="H32" s="333"/>
      <c r="I32" s="330"/>
      <c r="J32" s="333"/>
      <c r="K32" s="334"/>
      <c r="L32" s="333"/>
      <c r="M32" s="341">
        <f>K11/1.33/100</f>
        <v>60.451127819548866</v>
      </c>
      <c r="N32" s="344" t="s">
        <v>496</v>
      </c>
      <c r="O32" s="570" t="s">
        <v>747</v>
      </c>
      <c r="P32" s="671"/>
      <c r="Q32" s="672"/>
      <c r="R32" s="673"/>
    </row>
    <row r="33" spans="1:18" x14ac:dyDescent="0.2">
      <c r="A33" s="690" t="s">
        <v>499</v>
      </c>
      <c r="B33" s="669"/>
      <c r="C33" s="670"/>
      <c r="D33" s="285"/>
      <c r="E33" s="330"/>
      <c r="F33" s="331"/>
      <c r="G33" s="332"/>
      <c r="H33" s="333"/>
      <c r="I33" s="330">
        <v>10036</v>
      </c>
      <c r="J33" s="333" t="s">
        <v>195</v>
      </c>
      <c r="K33" s="334"/>
      <c r="L33" s="333"/>
      <c r="M33" s="343">
        <f>I33/100</f>
        <v>100.36</v>
      </c>
      <c r="N33" s="344" t="s">
        <v>501</v>
      </c>
      <c r="O33" s="337"/>
      <c r="P33" s="671"/>
      <c r="Q33" s="672"/>
      <c r="R33" s="673"/>
    </row>
    <row r="34" spans="1:18" x14ac:dyDescent="0.2">
      <c r="A34" s="690"/>
      <c r="B34" s="669"/>
      <c r="C34" s="670"/>
      <c r="D34" s="348"/>
      <c r="E34" s="330"/>
      <c r="F34" s="331"/>
      <c r="G34" s="332"/>
      <c r="H34" s="333"/>
      <c r="I34" s="330" t="s">
        <v>500</v>
      </c>
      <c r="J34" s="333"/>
      <c r="K34" s="334"/>
      <c r="L34" s="24"/>
      <c r="M34" s="343"/>
      <c r="N34" s="344"/>
      <c r="O34" s="337"/>
      <c r="P34" s="671"/>
      <c r="Q34" s="672"/>
      <c r="R34" s="673"/>
    </row>
    <row r="35" spans="1:18" x14ac:dyDescent="0.2">
      <c r="A35" s="690"/>
      <c r="B35" s="669"/>
      <c r="C35" s="670"/>
      <c r="D35" s="348"/>
      <c r="E35" s="330"/>
      <c r="F35" s="331"/>
      <c r="G35" s="332"/>
      <c r="H35" s="333"/>
      <c r="I35" s="330"/>
      <c r="J35" s="333"/>
      <c r="K35" s="60"/>
      <c r="L35" s="333"/>
      <c r="M35" s="341"/>
      <c r="N35" s="33"/>
      <c r="O35" s="337"/>
      <c r="P35" s="671"/>
      <c r="Q35" s="672"/>
      <c r="R35" s="673"/>
    </row>
    <row r="36" spans="1:18" ht="15" x14ac:dyDescent="0.25">
      <c r="A36" s="690" t="s">
        <v>518</v>
      </c>
      <c r="B36" s="669"/>
      <c r="C36" s="670"/>
      <c r="D36" s="348"/>
      <c r="E36" s="330"/>
      <c r="F36" s="331"/>
      <c r="G36" s="332"/>
      <c r="H36" s="333"/>
      <c r="I36" s="330"/>
      <c r="J36" s="333"/>
      <c r="K36" s="334"/>
      <c r="L36" s="333"/>
      <c r="M36" s="343">
        <f>K11</f>
        <v>8040</v>
      </c>
      <c r="N36" s="344" t="s">
        <v>42</v>
      </c>
      <c r="O36" s="570" t="s">
        <v>746</v>
      </c>
      <c r="P36" s="671"/>
      <c r="Q36" s="672"/>
      <c r="R36" s="673"/>
    </row>
    <row r="37" spans="1:18" x14ac:dyDescent="0.2">
      <c r="A37" s="690"/>
      <c r="B37" s="669"/>
      <c r="C37" s="670"/>
      <c r="D37" s="348"/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671"/>
      <c r="Q37" s="672"/>
      <c r="R37" s="673"/>
    </row>
    <row r="38" spans="1:18" x14ac:dyDescent="0.2">
      <c r="A38" s="690"/>
      <c r="B38" s="669"/>
      <c r="C38" s="670"/>
      <c r="D38" s="348"/>
      <c r="E38" s="330"/>
      <c r="F38" s="331"/>
      <c r="G38" s="332"/>
      <c r="H38" s="333"/>
      <c r="I38" s="330"/>
      <c r="J38" s="333"/>
      <c r="K38" s="334"/>
      <c r="L38" s="333"/>
      <c r="M38" s="343"/>
      <c r="N38" s="344"/>
      <c r="O38" s="337"/>
      <c r="P38" s="671"/>
      <c r="Q38" s="672"/>
      <c r="R38" s="673"/>
    </row>
    <row r="39" spans="1:18" x14ac:dyDescent="0.2">
      <c r="A39" s="690"/>
      <c r="B39" s="669"/>
      <c r="C39" s="670"/>
      <c r="D39" s="348"/>
      <c r="E39" s="330"/>
      <c r="F39" s="331"/>
      <c r="G39" s="332"/>
      <c r="H39" s="333"/>
      <c r="I39" s="347"/>
      <c r="J39" s="333"/>
      <c r="K39" s="334"/>
      <c r="L39" s="333"/>
      <c r="M39" s="343"/>
      <c r="N39" s="344"/>
      <c r="O39" s="337"/>
      <c r="P39" s="671"/>
      <c r="Q39" s="672"/>
      <c r="R39" s="673"/>
    </row>
    <row r="40" spans="1:18" x14ac:dyDescent="0.2">
      <c r="A40" s="690"/>
      <c r="B40" s="669"/>
      <c r="C40" s="670"/>
      <c r="D40" s="348"/>
      <c r="E40" s="330"/>
      <c r="F40" s="331"/>
      <c r="G40" s="332"/>
      <c r="H40" s="333"/>
      <c r="I40" s="330"/>
      <c r="J40" s="333"/>
      <c r="K40" s="334"/>
      <c r="L40" s="333"/>
      <c r="M40" s="343"/>
      <c r="N40" s="344"/>
      <c r="O40" s="337"/>
      <c r="P40" s="671"/>
      <c r="Q40" s="672"/>
      <c r="R40" s="673"/>
    </row>
    <row r="41" spans="1:18" x14ac:dyDescent="0.2">
      <c r="A41" s="690"/>
      <c r="B41" s="669"/>
      <c r="C41" s="670"/>
      <c r="D41" s="348"/>
      <c r="E41" s="330"/>
      <c r="F41" s="331"/>
      <c r="G41" s="332"/>
      <c r="H41" s="333"/>
      <c r="I41" s="330"/>
      <c r="J41" s="333"/>
      <c r="K41" s="334"/>
      <c r="L41" s="333"/>
      <c r="M41" s="343"/>
      <c r="N41" s="344"/>
      <c r="O41" s="337"/>
      <c r="P41" s="671"/>
      <c r="Q41" s="672"/>
      <c r="R41" s="673"/>
    </row>
    <row r="42" spans="1:18" x14ac:dyDescent="0.2">
      <c r="A42" s="690"/>
      <c r="B42" s="669"/>
      <c r="C42" s="670"/>
      <c r="D42" s="348"/>
      <c r="E42" s="330"/>
      <c r="F42" s="331"/>
      <c r="G42" s="332"/>
      <c r="H42" s="333"/>
      <c r="I42" s="347"/>
      <c r="J42" s="333"/>
      <c r="K42" s="334"/>
      <c r="L42" s="333"/>
      <c r="M42" s="343"/>
      <c r="N42" s="344"/>
      <c r="O42" s="337"/>
      <c r="P42" s="671"/>
      <c r="Q42" s="672"/>
      <c r="R42" s="673"/>
    </row>
    <row r="43" spans="1:18" x14ac:dyDescent="0.2">
      <c r="A43" s="690"/>
      <c r="B43" s="669"/>
      <c r="C43" s="670"/>
      <c r="D43" s="348"/>
      <c r="E43" s="330"/>
      <c r="F43" s="331"/>
      <c r="G43" s="332"/>
      <c r="H43" s="333"/>
      <c r="I43" s="347"/>
      <c r="J43" s="333"/>
      <c r="K43" s="334"/>
      <c r="L43" s="333"/>
      <c r="M43" s="343"/>
      <c r="N43" s="344"/>
      <c r="O43" s="337"/>
      <c r="P43" s="671"/>
      <c r="Q43" s="672"/>
      <c r="R43" s="673"/>
    </row>
    <row r="44" spans="1:18" x14ac:dyDescent="0.2">
      <c r="A44" s="751"/>
      <c r="B44" s="672"/>
      <c r="C44" s="673"/>
      <c r="D44" s="348"/>
      <c r="E44" s="330"/>
      <c r="F44" s="331"/>
      <c r="G44" s="332"/>
      <c r="H44" s="333"/>
      <c r="I44" s="347"/>
      <c r="J44" s="333"/>
      <c r="K44" s="334"/>
      <c r="L44" s="333"/>
      <c r="M44" s="343"/>
      <c r="N44" s="344"/>
      <c r="O44" s="337"/>
      <c r="P44" s="671"/>
      <c r="Q44" s="672"/>
      <c r="R44" s="673"/>
    </row>
    <row r="45" spans="1:18" x14ac:dyDescent="0.2">
      <c r="A45" s="653"/>
      <c r="B45" s="654"/>
      <c r="C45" s="741"/>
      <c r="D45" s="348"/>
      <c r="E45" s="330"/>
      <c r="F45" s="331"/>
      <c r="G45" s="332"/>
      <c r="H45" s="333"/>
      <c r="I45" s="330"/>
      <c r="J45" s="333"/>
      <c r="K45" s="334"/>
      <c r="L45" s="333"/>
      <c r="M45" s="343"/>
      <c r="N45" s="344"/>
      <c r="O45" s="337"/>
      <c r="P45" s="671"/>
      <c r="Q45" s="672"/>
      <c r="R45" s="673"/>
    </row>
    <row r="46" spans="1:18" x14ac:dyDescent="0.2">
      <c r="A46" s="671"/>
      <c r="B46" s="672"/>
      <c r="C46" s="673"/>
      <c r="D46" s="348"/>
      <c r="E46" s="330"/>
      <c r="F46" s="331"/>
      <c r="G46" s="332"/>
      <c r="H46" s="333"/>
      <c r="I46" s="347"/>
      <c r="J46" s="24"/>
      <c r="K46" s="334"/>
      <c r="L46" s="333"/>
      <c r="M46" s="343"/>
      <c r="N46" s="344"/>
      <c r="O46" s="337"/>
      <c r="P46" s="671"/>
      <c r="Q46" s="672"/>
      <c r="R46" s="673"/>
    </row>
    <row r="47" spans="1:18" x14ac:dyDescent="0.2">
      <c r="A47" s="671"/>
      <c r="B47" s="672"/>
      <c r="C47" s="673"/>
      <c r="D47" s="338"/>
      <c r="E47" s="330"/>
      <c r="F47" s="331"/>
      <c r="G47" s="332"/>
      <c r="H47" s="333"/>
      <c r="I47" s="347"/>
      <c r="J47" s="333"/>
      <c r="K47" s="334"/>
      <c r="L47" s="333"/>
      <c r="M47" s="343"/>
      <c r="N47" s="344"/>
      <c r="O47" s="337"/>
      <c r="P47" s="671"/>
      <c r="Q47" s="672"/>
      <c r="R47" s="673"/>
    </row>
    <row r="48" spans="1:18" x14ac:dyDescent="0.2">
      <c r="A48" s="671"/>
      <c r="B48" s="672"/>
      <c r="C48" s="673"/>
      <c r="D48" s="338"/>
      <c r="E48" s="330"/>
      <c r="F48" s="331"/>
      <c r="G48" s="332"/>
      <c r="H48" s="333"/>
      <c r="I48" s="347"/>
      <c r="J48" s="333"/>
      <c r="K48" s="334"/>
      <c r="L48" s="333"/>
      <c r="M48" s="343"/>
      <c r="N48" s="344"/>
      <c r="O48" s="337"/>
      <c r="P48" s="671"/>
      <c r="Q48" s="672"/>
      <c r="R48" s="673"/>
    </row>
    <row r="49" spans="1:18" x14ac:dyDescent="0.2">
      <c r="A49" s="671"/>
      <c r="B49" s="672"/>
      <c r="C49" s="673"/>
      <c r="D49" s="338"/>
      <c r="E49" s="330"/>
      <c r="F49" s="331"/>
      <c r="G49" s="332"/>
      <c r="H49" s="333"/>
      <c r="I49" s="347"/>
      <c r="J49" s="333"/>
      <c r="K49" s="334"/>
      <c r="L49" s="333"/>
      <c r="M49" s="343"/>
      <c r="N49" s="344"/>
      <c r="O49" s="337"/>
      <c r="P49" s="671"/>
      <c r="Q49" s="672"/>
      <c r="R49" s="673"/>
    </row>
    <row r="50" spans="1:18" x14ac:dyDescent="0.2">
      <c r="A50" s="671"/>
      <c r="B50" s="672"/>
      <c r="C50" s="673"/>
      <c r="D50" s="338"/>
      <c r="E50" s="330"/>
      <c r="F50" s="331"/>
      <c r="G50" s="281"/>
      <c r="H50" s="333"/>
      <c r="I50" s="347"/>
      <c r="J50" s="333"/>
      <c r="K50" s="334"/>
      <c r="L50" s="333"/>
      <c r="M50" s="343"/>
      <c r="N50" s="344"/>
      <c r="O50" s="337"/>
      <c r="P50" s="671"/>
      <c r="Q50" s="672"/>
      <c r="R50" s="673"/>
    </row>
    <row r="51" spans="1:18" x14ac:dyDescent="0.2">
      <c r="A51" s="740"/>
      <c r="B51" s="654"/>
      <c r="C51" s="741"/>
      <c r="D51" s="338"/>
      <c r="E51" s="330"/>
      <c r="F51" s="331"/>
      <c r="G51" s="332"/>
      <c r="H51" s="333"/>
      <c r="I51" s="330"/>
      <c r="J51" s="333"/>
      <c r="K51" s="334"/>
      <c r="L51" s="333"/>
      <c r="M51" s="343"/>
      <c r="N51" s="344"/>
      <c r="O51" s="337"/>
      <c r="P51" s="671"/>
      <c r="Q51" s="672"/>
      <c r="R51" s="673"/>
    </row>
    <row r="52" spans="1:18" x14ac:dyDescent="0.2">
      <c r="A52" s="671"/>
      <c r="B52" s="672"/>
      <c r="C52" s="673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671"/>
      <c r="Q52" s="672"/>
      <c r="R52" s="673"/>
    </row>
    <row r="53" spans="1:18" x14ac:dyDescent="0.2">
      <c r="A53" s="671"/>
      <c r="B53" s="672"/>
      <c r="C53" s="673"/>
      <c r="D53" s="338"/>
      <c r="E53" s="330"/>
      <c r="F53" s="331"/>
      <c r="G53" s="332"/>
      <c r="H53" s="333"/>
      <c r="I53" s="330"/>
      <c r="J53" s="333"/>
      <c r="K53" s="349"/>
      <c r="L53" s="24"/>
      <c r="M53" s="343"/>
      <c r="N53" s="344"/>
      <c r="O53" s="337"/>
      <c r="P53" s="671"/>
      <c r="Q53" s="672"/>
      <c r="R53" s="673"/>
    </row>
    <row r="54" spans="1:18" x14ac:dyDescent="0.2">
      <c r="A54" s="671"/>
      <c r="B54" s="672"/>
      <c r="C54" s="673"/>
      <c r="D54" s="338"/>
      <c r="E54" s="330"/>
      <c r="F54" s="331"/>
      <c r="G54" s="332"/>
      <c r="H54" s="333"/>
      <c r="I54" s="330"/>
      <c r="J54" s="333"/>
      <c r="K54" s="60"/>
      <c r="L54" s="333"/>
      <c r="M54" s="341"/>
      <c r="N54" s="33"/>
      <c r="O54" s="337"/>
      <c r="P54" s="671"/>
      <c r="Q54" s="672"/>
      <c r="R54" s="673"/>
    </row>
    <row r="55" spans="1:18" x14ac:dyDescent="0.2">
      <c r="A55" s="671"/>
      <c r="B55" s="672"/>
      <c r="C55" s="673"/>
      <c r="D55" s="338"/>
      <c r="E55" s="330"/>
      <c r="F55" s="331"/>
      <c r="G55" s="332"/>
      <c r="H55" s="333"/>
      <c r="I55" s="330"/>
      <c r="J55" s="333"/>
      <c r="K55" s="334"/>
      <c r="L55" s="333"/>
      <c r="M55" s="343"/>
      <c r="N55" s="344"/>
      <c r="O55" s="337"/>
      <c r="P55" s="671"/>
      <c r="Q55" s="672"/>
      <c r="R55" s="673"/>
    </row>
    <row r="56" spans="1:18" x14ac:dyDescent="0.2">
      <c r="A56" s="755"/>
      <c r="B56" s="756"/>
      <c r="C56" s="757"/>
      <c r="D56" s="338"/>
      <c r="E56" s="330"/>
      <c r="F56" s="331"/>
      <c r="G56" s="332"/>
      <c r="H56" s="333"/>
      <c r="I56" s="330"/>
      <c r="J56" s="333"/>
      <c r="K56" s="334"/>
      <c r="L56" s="333"/>
      <c r="M56" s="343"/>
      <c r="N56" s="344"/>
      <c r="O56" s="337"/>
      <c r="P56" s="671"/>
      <c r="Q56" s="672"/>
      <c r="R56" s="673"/>
    </row>
    <row r="57" spans="1:18" x14ac:dyDescent="0.2">
      <c r="A57" s="671"/>
      <c r="B57" s="672"/>
      <c r="C57" s="673"/>
      <c r="D57" s="22"/>
      <c r="E57" s="330"/>
      <c r="F57" s="331"/>
      <c r="G57" s="332"/>
      <c r="H57" s="333"/>
      <c r="I57" s="330"/>
      <c r="J57" s="24"/>
      <c r="K57" s="334"/>
      <c r="L57" s="333"/>
      <c r="M57" s="343"/>
      <c r="N57" s="344"/>
      <c r="O57" s="337"/>
      <c r="P57" s="671"/>
      <c r="Q57" s="672"/>
      <c r="R57" s="673"/>
    </row>
    <row r="58" spans="1:18" x14ac:dyDescent="0.2">
      <c r="A58" s="671"/>
      <c r="B58" s="672"/>
      <c r="C58" s="673"/>
      <c r="D58" s="338"/>
      <c r="E58" s="330"/>
      <c r="F58" s="331"/>
      <c r="G58" s="332"/>
      <c r="H58" s="333"/>
      <c r="I58" s="347"/>
      <c r="J58" s="333"/>
      <c r="K58" s="334"/>
      <c r="L58" s="333"/>
      <c r="M58" s="343"/>
      <c r="N58" s="344"/>
      <c r="O58" s="337"/>
      <c r="P58" s="671"/>
      <c r="Q58" s="672"/>
      <c r="R58" s="673"/>
    </row>
    <row r="59" spans="1:18" x14ac:dyDescent="0.2">
      <c r="A59" s="671"/>
      <c r="B59" s="672"/>
      <c r="C59" s="673"/>
      <c r="D59" s="338"/>
      <c r="E59" s="330"/>
      <c r="F59" s="331"/>
      <c r="G59" s="332"/>
      <c r="H59" s="333"/>
      <c r="I59" s="330"/>
      <c r="J59" s="333"/>
      <c r="K59" s="349"/>
      <c r="L59" s="24"/>
      <c r="M59" s="343"/>
      <c r="N59" s="344"/>
      <c r="O59" s="337"/>
      <c r="P59" s="671"/>
      <c r="Q59" s="672"/>
      <c r="R59" s="673"/>
    </row>
    <row r="60" spans="1:18" x14ac:dyDescent="0.2">
      <c r="A60" s="758"/>
      <c r="B60" s="758"/>
      <c r="C60" s="751"/>
      <c r="D60" s="350"/>
      <c r="E60" s="334"/>
      <c r="F60" s="331"/>
      <c r="G60" s="331"/>
      <c r="H60" s="340"/>
      <c r="I60" s="334"/>
      <c r="J60" s="340"/>
      <c r="K60" s="60"/>
      <c r="L60" s="340"/>
      <c r="M60" s="351"/>
      <c r="N60" s="65"/>
      <c r="O60" s="352"/>
      <c r="P60" s="671"/>
      <c r="Q60" s="672"/>
      <c r="R60" s="673"/>
    </row>
    <row r="61" spans="1:18" x14ac:dyDescent="0.2">
      <c r="A61" s="752"/>
      <c r="B61" s="753"/>
      <c r="C61" s="754"/>
      <c r="D61" s="63"/>
      <c r="E61" s="323"/>
      <c r="F61" s="324"/>
      <c r="G61" s="325"/>
      <c r="H61" s="326"/>
      <c r="I61" s="323"/>
      <c r="J61" s="326"/>
      <c r="K61" s="353"/>
      <c r="L61" s="326"/>
      <c r="M61" s="323"/>
      <c r="N61" s="326"/>
      <c r="O61" s="329"/>
      <c r="P61" s="671"/>
      <c r="Q61" s="672"/>
      <c r="R61" s="673"/>
    </row>
    <row r="62" spans="1:18" x14ac:dyDescent="0.2">
      <c r="A62" s="671"/>
      <c r="B62" s="672"/>
      <c r="C62" s="673"/>
      <c r="D62" s="338"/>
      <c r="E62" s="330"/>
      <c r="F62" s="331"/>
      <c r="G62" s="332"/>
      <c r="H62" s="333"/>
      <c r="I62" s="330"/>
      <c r="J62" s="333"/>
      <c r="K62" s="334"/>
      <c r="L62" s="333"/>
      <c r="M62" s="330"/>
      <c r="N62" s="333"/>
      <c r="O62" s="337"/>
      <c r="P62" s="671"/>
      <c r="Q62" s="672"/>
      <c r="R62" s="673"/>
    </row>
    <row r="63" spans="1:18" x14ac:dyDescent="0.2">
      <c r="A63" s="671"/>
      <c r="B63" s="672"/>
      <c r="C63" s="673"/>
      <c r="D63" s="338"/>
      <c r="E63" s="330"/>
      <c r="F63" s="331"/>
      <c r="G63" s="332"/>
      <c r="H63" s="333"/>
      <c r="I63" s="330"/>
      <c r="J63" s="333"/>
      <c r="K63" s="334"/>
      <c r="L63" s="333"/>
      <c r="M63" s="330"/>
      <c r="N63" s="333"/>
      <c r="O63" s="337"/>
      <c r="P63" s="671"/>
      <c r="Q63" s="672"/>
      <c r="R63" s="673"/>
    </row>
    <row r="64" spans="1:18" x14ac:dyDescent="0.2">
      <c r="A64" s="671"/>
      <c r="B64" s="672"/>
      <c r="C64" s="673"/>
      <c r="D64" s="338"/>
      <c r="E64" s="330"/>
      <c r="F64" s="331"/>
      <c r="G64" s="332"/>
      <c r="H64" s="333"/>
      <c r="I64" s="330"/>
      <c r="J64" s="333"/>
      <c r="K64" s="334"/>
      <c r="L64" s="24"/>
      <c r="M64" s="330"/>
      <c r="N64" s="333"/>
      <c r="O64" s="337"/>
      <c r="P64" s="671"/>
      <c r="Q64" s="672"/>
      <c r="R64" s="673"/>
    </row>
    <row r="65" spans="1:18" x14ac:dyDescent="0.2">
      <c r="A65" s="671"/>
      <c r="B65" s="672"/>
      <c r="C65" s="673"/>
      <c r="D65" s="338"/>
      <c r="E65" s="330"/>
      <c r="F65" s="331"/>
      <c r="G65" s="332"/>
      <c r="H65" s="333"/>
      <c r="I65" s="330"/>
      <c r="J65" s="333"/>
      <c r="K65" s="60"/>
      <c r="L65" s="333"/>
      <c r="M65" s="341"/>
      <c r="N65" s="33"/>
      <c r="O65" s="283"/>
      <c r="P65" s="671"/>
      <c r="Q65" s="672"/>
      <c r="R65" s="673"/>
    </row>
    <row r="66" spans="1:18" x14ac:dyDescent="0.2">
      <c r="A66" s="671"/>
      <c r="B66" s="672"/>
      <c r="C66" s="673"/>
      <c r="D66" s="338"/>
      <c r="E66" s="330"/>
      <c r="F66" s="331"/>
      <c r="G66" s="332"/>
      <c r="H66" s="333"/>
      <c r="I66" s="330"/>
      <c r="J66" s="333"/>
      <c r="K66" s="334"/>
      <c r="L66" s="333"/>
      <c r="M66" s="343"/>
      <c r="N66" s="344"/>
      <c r="O66" s="337"/>
      <c r="P66" s="671"/>
      <c r="Q66" s="672"/>
      <c r="R66" s="673"/>
    </row>
    <row r="67" spans="1:18" x14ac:dyDescent="0.2">
      <c r="A67" s="755"/>
      <c r="B67" s="756"/>
      <c r="C67" s="757"/>
      <c r="D67" s="338"/>
      <c r="E67" s="330"/>
      <c r="F67" s="331"/>
      <c r="G67" s="332"/>
      <c r="H67" s="333"/>
      <c r="I67" s="330"/>
      <c r="J67" s="333"/>
      <c r="K67" s="334"/>
      <c r="L67" s="333"/>
      <c r="M67" s="343"/>
      <c r="N67" s="344"/>
      <c r="O67" s="337"/>
      <c r="P67" s="671"/>
      <c r="Q67" s="672"/>
      <c r="R67" s="673"/>
    </row>
    <row r="68" spans="1:18" x14ac:dyDescent="0.2">
      <c r="A68" s="740"/>
      <c r="B68" s="654"/>
      <c r="C68" s="741"/>
      <c r="D68" s="338"/>
      <c r="E68" s="330"/>
      <c r="F68" s="331"/>
      <c r="G68" s="332"/>
      <c r="H68" s="333"/>
      <c r="I68" s="330"/>
      <c r="J68" s="333"/>
      <c r="K68" s="334"/>
      <c r="L68" s="333"/>
      <c r="M68" s="343"/>
      <c r="N68" s="344"/>
      <c r="O68" s="337"/>
      <c r="P68" s="671"/>
      <c r="Q68" s="672"/>
      <c r="R68" s="673"/>
    </row>
    <row r="69" spans="1:18" x14ac:dyDescent="0.2">
      <c r="A69" s="734" t="s">
        <v>106</v>
      </c>
      <c r="B69" s="735"/>
      <c r="C69" s="736"/>
      <c r="D69" s="22"/>
      <c r="E69" s="330"/>
      <c r="F69" s="331"/>
      <c r="G69" s="332"/>
      <c r="H69" s="333"/>
      <c r="I69" s="330"/>
      <c r="J69" s="24"/>
      <c r="K69" s="346"/>
      <c r="L69" s="24"/>
      <c r="M69" s="343"/>
      <c r="N69" s="344"/>
      <c r="O69" s="337"/>
      <c r="P69" s="671"/>
      <c r="Q69" s="672"/>
      <c r="R69" s="673"/>
    </row>
    <row r="70" spans="1:18" x14ac:dyDescent="0.2">
      <c r="A70" s="707" t="s">
        <v>94</v>
      </c>
      <c r="B70" s="708"/>
      <c r="C70" s="709"/>
      <c r="D70" s="22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671"/>
      <c r="Q70" s="672"/>
      <c r="R70" s="673"/>
    </row>
    <row r="71" spans="1:18" x14ac:dyDescent="0.2">
      <c r="A71" s="740" t="s">
        <v>95</v>
      </c>
      <c r="B71" s="654"/>
      <c r="C71" s="741"/>
      <c r="D71" s="338"/>
      <c r="E71" s="330"/>
      <c r="F71" s="331"/>
      <c r="G71" s="332"/>
      <c r="H71" s="333"/>
      <c r="I71" s="347"/>
      <c r="J71" s="333"/>
      <c r="K71" s="334"/>
      <c r="L71" s="333"/>
      <c r="M71" s="343"/>
      <c r="N71" s="344"/>
      <c r="O71" s="337"/>
      <c r="P71" s="671"/>
      <c r="Q71" s="672"/>
      <c r="R71" s="673"/>
    </row>
    <row r="72" spans="1:18" x14ac:dyDescent="0.2">
      <c r="A72" s="671" t="s">
        <v>96</v>
      </c>
      <c r="B72" s="672"/>
      <c r="C72" s="673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671"/>
      <c r="Q72" s="672"/>
      <c r="R72" s="673"/>
    </row>
    <row r="73" spans="1:18" x14ac:dyDescent="0.2">
      <c r="A73" s="671" t="s">
        <v>797</v>
      </c>
      <c r="B73" s="672"/>
      <c r="C73" s="673"/>
      <c r="D73" s="338"/>
      <c r="E73" s="330"/>
      <c r="F73" s="331"/>
      <c r="G73" s="332"/>
      <c r="H73" s="333"/>
      <c r="I73" s="330"/>
      <c r="J73" s="333"/>
      <c r="K73" s="334"/>
      <c r="L73" s="333"/>
      <c r="M73" s="343"/>
      <c r="N73" s="344"/>
      <c r="O73" s="337"/>
      <c r="P73" s="671"/>
      <c r="Q73" s="672"/>
      <c r="R73" s="673"/>
    </row>
    <row r="74" spans="1:18" x14ac:dyDescent="0.2">
      <c r="A74" s="671" t="s">
        <v>97</v>
      </c>
      <c r="B74" s="672"/>
      <c r="C74" s="673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671"/>
      <c r="Q74" s="672"/>
      <c r="R74" s="673"/>
    </row>
    <row r="75" spans="1:18" x14ac:dyDescent="0.2">
      <c r="A75" s="671" t="s">
        <v>98</v>
      </c>
      <c r="B75" s="672"/>
      <c r="C75" s="673"/>
      <c r="D75" s="338"/>
      <c r="E75" s="330"/>
      <c r="F75" s="331"/>
      <c r="G75" s="332"/>
      <c r="H75" s="333"/>
      <c r="I75" s="330"/>
      <c r="J75" s="333"/>
      <c r="K75" s="334"/>
      <c r="L75" s="333"/>
      <c r="M75" s="343"/>
      <c r="N75" s="344"/>
      <c r="O75" s="337"/>
      <c r="P75" s="671"/>
      <c r="Q75" s="672"/>
      <c r="R75" s="673"/>
    </row>
    <row r="76" spans="1:18" x14ac:dyDescent="0.2">
      <c r="A76" s="740" t="s">
        <v>99</v>
      </c>
      <c r="B76" s="654"/>
      <c r="C76" s="741"/>
      <c r="D76" s="338"/>
      <c r="E76" s="330"/>
      <c r="F76" s="331"/>
      <c r="G76" s="332"/>
      <c r="H76" s="333"/>
      <c r="I76" s="347"/>
      <c r="J76" s="333"/>
      <c r="K76" s="334"/>
      <c r="L76" s="333"/>
      <c r="M76" s="343"/>
      <c r="N76" s="344"/>
      <c r="O76" s="337"/>
      <c r="P76" s="671"/>
      <c r="Q76" s="672"/>
      <c r="R76" s="673"/>
    </row>
    <row r="77" spans="1:18" x14ac:dyDescent="0.2">
      <c r="A77" s="740" t="s">
        <v>100</v>
      </c>
      <c r="B77" s="654"/>
      <c r="C77" s="741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671"/>
      <c r="Q77" s="672"/>
      <c r="R77" s="673"/>
    </row>
    <row r="78" spans="1:18" x14ac:dyDescent="0.2">
      <c r="A78" s="671" t="s">
        <v>101</v>
      </c>
      <c r="B78" s="672"/>
      <c r="C78" s="673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671"/>
      <c r="Q78" s="672"/>
      <c r="R78" s="673"/>
    </row>
    <row r="79" spans="1:18" x14ac:dyDescent="0.2">
      <c r="A79" s="740" t="s">
        <v>798</v>
      </c>
      <c r="B79" s="654"/>
      <c r="C79" s="741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671"/>
      <c r="Q79" s="672"/>
      <c r="R79" s="673"/>
    </row>
    <row r="80" spans="1:18" x14ac:dyDescent="0.2">
      <c r="A80" s="740" t="s">
        <v>110</v>
      </c>
      <c r="B80" s="654"/>
      <c r="C80" s="741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671"/>
      <c r="Q80" s="672"/>
      <c r="R80" s="673"/>
    </row>
    <row r="81" spans="1:18" x14ac:dyDescent="0.2">
      <c r="A81" s="671" t="s">
        <v>111</v>
      </c>
      <c r="B81" s="672"/>
      <c r="C81" s="673"/>
      <c r="D81" s="338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671"/>
      <c r="Q81" s="672"/>
      <c r="R81" s="673"/>
    </row>
    <row r="82" spans="1:18" x14ac:dyDescent="0.2">
      <c r="A82" s="671" t="s">
        <v>117</v>
      </c>
      <c r="B82" s="672"/>
      <c r="C82" s="673"/>
      <c r="D82" s="338"/>
      <c r="E82" s="330"/>
      <c r="F82" s="331"/>
      <c r="G82" s="332"/>
      <c r="H82" s="333"/>
      <c r="I82" s="330"/>
      <c r="J82" s="333"/>
      <c r="K82" s="334"/>
      <c r="L82" s="333"/>
      <c r="M82" s="343"/>
      <c r="N82" s="344"/>
      <c r="O82" s="337"/>
      <c r="P82" s="671"/>
      <c r="Q82" s="672"/>
      <c r="R82" s="673"/>
    </row>
    <row r="83" spans="1:18" x14ac:dyDescent="0.2">
      <c r="A83" s="740"/>
      <c r="B83" s="654"/>
      <c r="C83" s="741"/>
      <c r="D83" s="338"/>
      <c r="E83" s="330"/>
      <c r="F83" s="331"/>
      <c r="G83" s="332"/>
      <c r="H83" s="333"/>
      <c r="I83" s="330"/>
      <c r="J83" s="333"/>
      <c r="K83" s="334"/>
      <c r="L83" s="333"/>
      <c r="M83" s="343"/>
      <c r="N83" s="344"/>
      <c r="O83" s="337"/>
      <c r="P83" s="671"/>
      <c r="Q83" s="672"/>
      <c r="R83" s="673"/>
    </row>
    <row r="84" spans="1:18" x14ac:dyDescent="0.2">
      <c r="A84" s="671"/>
      <c r="B84" s="672"/>
      <c r="C84" s="673"/>
      <c r="D84" s="22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671"/>
      <c r="Q84" s="672"/>
      <c r="R84" s="673"/>
    </row>
    <row r="85" spans="1:18" x14ac:dyDescent="0.2">
      <c r="A85" s="671"/>
      <c r="B85" s="672"/>
      <c r="C85" s="673"/>
      <c r="D85" s="338"/>
      <c r="E85" s="330"/>
      <c r="F85" s="331"/>
      <c r="G85" s="332"/>
      <c r="H85" s="333"/>
      <c r="I85" s="330"/>
      <c r="J85" s="333"/>
      <c r="K85" s="334"/>
      <c r="L85" s="24"/>
      <c r="M85" s="343"/>
      <c r="N85" s="344"/>
      <c r="O85" s="337"/>
      <c r="P85" s="671"/>
      <c r="Q85" s="672"/>
      <c r="R85" s="673"/>
    </row>
    <row r="86" spans="1:18" x14ac:dyDescent="0.2">
      <c r="A86" s="671"/>
      <c r="B86" s="672"/>
      <c r="C86" s="673"/>
      <c r="D86" s="338"/>
      <c r="E86" s="330"/>
      <c r="F86" s="331"/>
      <c r="G86" s="332"/>
      <c r="H86" s="333"/>
      <c r="I86" s="330"/>
      <c r="J86" s="333"/>
      <c r="K86" s="60"/>
      <c r="L86" s="333"/>
      <c r="M86" s="341"/>
      <c r="N86" s="33"/>
      <c r="O86" s="337"/>
      <c r="P86" s="671"/>
      <c r="Q86" s="672"/>
      <c r="R86" s="673"/>
    </row>
    <row r="87" spans="1:18" x14ac:dyDescent="0.2">
      <c r="A87" s="671"/>
      <c r="B87" s="672"/>
      <c r="C87" s="673"/>
      <c r="D87" s="338"/>
      <c r="E87" s="330"/>
      <c r="F87" s="331"/>
      <c r="G87" s="332"/>
      <c r="H87" s="333"/>
      <c r="I87" s="330"/>
      <c r="J87" s="333"/>
      <c r="K87" s="334"/>
      <c r="L87" s="333"/>
      <c r="M87" s="343"/>
      <c r="N87" s="344"/>
      <c r="O87" s="337"/>
      <c r="P87" s="671"/>
      <c r="Q87" s="672"/>
      <c r="R87" s="673"/>
    </row>
    <row r="88" spans="1:18" x14ac:dyDescent="0.2">
      <c r="A88" s="755"/>
      <c r="B88" s="756"/>
      <c r="C88" s="757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671"/>
      <c r="Q88" s="672"/>
      <c r="R88" s="673"/>
    </row>
    <row r="89" spans="1:18" x14ac:dyDescent="0.2">
      <c r="A89" s="740"/>
      <c r="B89" s="654"/>
      <c r="C89" s="74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671"/>
      <c r="Q89" s="672"/>
      <c r="R89" s="673"/>
    </row>
    <row r="90" spans="1:18" x14ac:dyDescent="0.2">
      <c r="A90" s="671"/>
      <c r="B90" s="672"/>
      <c r="C90" s="673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671"/>
      <c r="Q90" s="672"/>
      <c r="R90" s="673"/>
    </row>
    <row r="91" spans="1:18" x14ac:dyDescent="0.2">
      <c r="A91" s="671"/>
      <c r="B91" s="672"/>
      <c r="C91" s="673"/>
      <c r="D91" s="338"/>
      <c r="E91" s="330"/>
      <c r="F91" s="331"/>
      <c r="G91" s="332"/>
      <c r="H91" s="333"/>
      <c r="I91" s="330"/>
      <c r="J91" s="333"/>
      <c r="K91" s="334"/>
      <c r="L91" s="333"/>
      <c r="M91" s="343"/>
      <c r="N91" s="344"/>
      <c r="O91" s="337"/>
      <c r="P91" s="671"/>
      <c r="Q91" s="672"/>
      <c r="R91" s="673"/>
    </row>
    <row r="92" spans="1:18" x14ac:dyDescent="0.2">
      <c r="A92" s="740"/>
      <c r="B92" s="654"/>
      <c r="C92" s="741"/>
      <c r="D92" s="338"/>
      <c r="E92" s="330"/>
      <c r="F92" s="331"/>
      <c r="G92" s="332"/>
      <c r="H92" s="333"/>
      <c r="I92" s="330"/>
      <c r="J92" s="333"/>
      <c r="K92" s="334"/>
      <c r="L92" s="333"/>
      <c r="M92" s="343"/>
      <c r="N92" s="344"/>
      <c r="O92" s="337"/>
      <c r="P92" s="671"/>
      <c r="Q92" s="672"/>
      <c r="R92" s="673"/>
    </row>
    <row r="93" spans="1:18" x14ac:dyDescent="0.2">
      <c r="A93" s="671"/>
      <c r="B93" s="672"/>
      <c r="C93" s="673"/>
      <c r="D93" s="338"/>
      <c r="E93" s="330"/>
      <c r="F93" s="331"/>
      <c r="G93" s="332"/>
      <c r="H93" s="333"/>
      <c r="I93" s="347"/>
      <c r="J93" s="333"/>
      <c r="K93" s="334"/>
      <c r="L93" s="333"/>
      <c r="M93" s="343"/>
      <c r="N93" s="344"/>
      <c r="O93" s="337"/>
      <c r="P93" s="671"/>
      <c r="Q93" s="672"/>
      <c r="R93" s="673"/>
    </row>
    <row r="94" spans="1:18" x14ac:dyDescent="0.2">
      <c r="A94" s="671"/>
      <c r="B94" s="672"/>
      <c r="C94" s="673"/>
      <c r="D94" s="338"/>
      <c r="E94" s="330"/>
      <c r="F94" s="331"/>
      <c r="G94" s="332"/>
      <c r="H94" s="333"/>
      <c r="I94" s="347"/>
      <c r="J94" s="333"/>
      <c r="K94" s="334"/>
      <c r="L94" s="333"/>
      <c r="M94" s="343"/>
      <c r="N94" s="344"/>
      <c r="O94" s="337"/>
      <c r="P94" s="671"/>
      <c r="Q94" s="672"/>
      <c r="R94" s="673"/>
    </row>
    <row r="95" spans="1:18" x14ac:dyDescent="0.2">
      <c r="A95" s="671"/>
      <c r="B95" s="672"/>
      <c r="C95" s="673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671"/>
      <c r="Q95" s="672"/>
      <c r="R95" s="673"/>
    </row>
    <row r="96" spans="1:18" x14ac:dyDescent="0.2">
      <c r="A96" s="740"/>
      <c r="B96" s="654"/>
      <c r="C96" s="741"/>
      <c r="D96" s="338"/>
      <c r="E96" s="330"/>
      <c r="F96" s="331"/>
      <c r="G96" s="332"/>
      <c r="H96" s="333"/>
      <c r="I96" s="330"/>
      <c r="J96" s="333"/>
      <c r="K96" s="334"/>
      <c r="L96" s="333"/>
      <c r="M96" s="343"/>
      <c r="N96" s="344"/>
      <c r="O96" s="337"/>
      <c r="P96" s="671"/>
      <c r="Q96" s="672"/>
      <c r="R96" s="673"/>
    </row>
    <row r="97" spans="1:18" x14ac:dyDescent="0.2">
      <c r="A97" s="671"/>
      <c r="B97" s="672"/>
      <c r="C97" s="673"/>
      <c r="D97" s="338"/>
      <c r="E97" s="330"/>
      <c r="F97" s="331"/>
      <c r="G97" s="332"/>
      <c r="H97" s="333"/>
      <c r="I97" s="347"/>
      <c r="J97" s="24"/>
      <c r="K97" s="334"/>
      <c r="L97" s="333"/>
      <c r="M97" s="343"/>
      <c r="N97" s="344"/>
      <c r="O97" s="337"/>
      <c r="P97" s="671"/>
      <c r="Q97" s="672"/>
      <c r="R97" s="673"/>
    </row>
    <row r="98" spans="1:18" x14ac:dyDescent="0.2">
      <c r="A98" s="671"/>
      <c r="B98" s="672"/>
      <c r="C98" s="673"/>
      <c r="D98" s="338"/>
      <c r="E98" s="330"/>
      <c r="F98" s="331"/>
      <c r="G98" s="332"/>
      <c r="H98" s="333"/>
      <c r="I98" s="347"/>
      <c r="J98" s="333"/>
      <c r="K98" s="334"/>
      <c r="L98" s="333"/>
      <c r="M98" s="343"/>
      <c r="N98" s="344"/>
      <c r="O98" s="337"/>
      <c r="P98" s="671"/>
      <c r="Q98" s="672"/>
      <c r="R98" s="673"/>
    </row>
    <row r="99" spans="1:18" x14ac:dyDescent="0.2">
      <c r="A99" s="671"/>
      <c r="B99" s="672"/>
      <c r="C99" s="673"/>
      <c r="D99" s="338"/>
      <c r="E99" s="330"/>
      <c r="F99" s="331"/>
      <c r="G99" s="332"/>
      <c r="H99" s="333"/>
      <c r="I99" s="347"/>
      <c r="J99" s="333"/>
      <c r="K99" s="334"/>
      <c r="L99" s="333"/>
      <c r="M99" s="343"/>
      <c r="N99" s="344"/>
      <c r="O99" s="337"/>
      <c r="P99" s="671"/>
      <c r="Q99" s="672"/>
      <c r="R99" s="673"/>
    </row>
    <row r="100" spans="1:18" x14ac:dyDescent="0.2">
      <c r="A100" s="671"/>
      <c r="B100" s="672"/>
      <c r="C100" s="673"/>
      <c r="D100" s="338"/>
      <c r="E100" s="330"/>
      <c r="F100" s="331"/>
      <c r="G100" s="332"/>
      <c r="H100" s="333"/>
      <c r="I100" s="347"/>
      <c r="J100" s="333"/>
      <c r="K100" s="334"/>
      <c r="L100" s="333"/>
      <c r="M100" s="343"/>
      <c r="N100" s="344"/>
      <c r="O100" s="337"/>
      <c r="P100" s="671"/>
      <c r="Q100" s="672"/>
      <c r="R100" s="673"/>
    </row>
    <row r="101" spans="1:18" x14ac:dyDescent="0.2">
      <c r="A101" s="671"/>
      <c r="B101" s="672"/>
      <c r="C101" s="673"/>
      <c r="D101" s="338"/>
      <c r="E101" s="330"/>
      <c r="F101" s="331"/>
      <c r="G101" s="281"/>
      <c r="H101" s="333"/>
      <c r="I101" s="347"/>
      <c r="J101" s="333"/>
      <c r="K101" s="334"/>
      <c r="L101" s="333"/>
      <c r="M101" s="343"/>
      <c r="N101" s="344"/>
      <c r="O101" s="337"/>
      <c r="P101" s="671"/>
      <c r="Q101" s="672"/>
      <c r="R101" s="673"/>
    </row>
    <row r="102" spans="1:18" x14ac:dyDescent="0.2">
      <c r="A102" s="740"/>
      <c r="B102" s="654"/>
      <c r="C102" s="741"/>
      <c r="D102" s="338"/>
      <c r="E102" s="330"/>
      <c r="F102" s="331"/>
      <c r="G102" s="332"/>
      <c r="H102" s="333"/>
      <c r="I102" s="330"/>
      <c r="J102" s="333"/>
      <c r="K102" s="334"/>
      <c r="L102" s="333"/>
      <c r="M102" s="343"/>
      <c r="N102" s="344"/>
      <c r="O102" s="337"/>
      <c r="P102" s="671"/>
      <c r="Q102" s="672"/>
      <c r="R102" s="673"/>
    </row>
    <row r="103" spans="1:18" x14ac:dyDescent="0.2">
      <c r="A103" s="671"/>
      <c r="B103" s="672"/>
      <c r="C103" s="673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671"/>
      <c r="Q103" s="672"/>
      <c r="R103" s="673"/>
    </row>
    <row r="104" spans="1:18" x14ac:dyDescent="0.2">
      <c r="A104" s="671"/>
      <c r="B104" s="672"/>
      <c r="C104" s="673"/>
      <c r="D104" s="338"/>
      <c r="E104" s="330"/>
      <c r="F104" s="331"/>
      <c r="G104" s="332"/>
      <c r="H104" s="333"/>
      <c r="I104" s="330"/>
      <c r="J104" s="333"/>
      <c r="K104" s="349"/>
      <c r="L104" s="24"/>
      <c r="M104" s="343"/>
      <c r="N104" s="344"/>
      <c r="O104" s="337"/>
      <c r="P104" s="671"/>
      <c r="Q104" s="672"/>
      <c r="R104" s="673"/>
    </row>
    <row r="105" spans="1:18" x14ac:dyDescent="0.2">
      <c r="A105" s="671"/>
      <c r="B105" s="672"/>
      <c r="C105" s="673"/>
      <c r="D105" s="338"/>
      <c r="E105" s="330"/>
      <c r="F105" s="331"/>
      <c r="G105" s="332"/>
      <c r="H105" s="333"/>
      <c r="I105" s="330"/>
      <c r="J105" s="333"/>
      <c r="K105" s="60"/>
      <c r="L105" s="333"/>
      <c r="M105" s="341"/>
      <c r="N105" s="33"/>
      <c r="O105" s="337"/>
      <c r="P105" s="671"/>
      <c r="Q105" s="672"/>
      <c r="R105" s="673"/>
    </row>
    <row r="106" spans="1:18" x14ac:dyDescent="0.2">
      <c r="A106" s="671"/>
      <c r="B106" s="672"/>
      <c r="C106" s="673"/>
      <c r="D106" s="338"/>
      <c r="E106" s="330"/>
      <c r="F106" s="331"/>
      <c r="G106" s="332"/>
      <c r="H106" s="333"/>
      <c r="I106" s="330"/>
      <c r="J106" s="333"/>
      <c r="K106" s="334"/>
      <c r="L106" s="333"/>
      <c r="M106" s="343"/>
      <c r="N106" s="344"/>
      <c r="O106" s="337"/>
      <c r="P106" s="671"/>
      <c r="Q106" s="672"/>
      <c r="R106" s="673"/>
    </row>
    <row r="107" spans="1:18" x14ac:dyDescent="0.2">
      <c r="A107" s="755"/>
      <c r="B107" s="756"/>
      <c r="C107" s="757"/>
      <c r="D107" s="338"/>
      <c r="E107" s="330"/>
      <c r="F107" s="331"/>
      <c r="G107" s="332"/>
      <c r="H107" s="333"/>
      <c r="I107" s="330"/>
      <c r="J107" s="333"/>
      <c r="K107" s="334"/>
      <c r="L107" s="333"/>
      <c r="M107" s="343"/>
      <c r="N107" s="344"/>
      <c r="O107" s="337"/>
      <c r="P107" s="671"/>
      <c r="Q107" s="672"/>
      <c r="R107" s="673"/>
    </row>
    <row r="108" spans="1:18" x14ac:dyDescent="0.2">
      <c r="A108" s="671"/>
      <c r="B108" s="672"/>
      <c r="C108" s="673"/>
      <c r="D108" s="22"/>
      <c r="E108" s="330"/>
      <c r="F108" s="331"/>
      <c r="G108" s="332"/>
      <c r="H108" s="333"/>
      <c r="I108" s="330"/>
      <c r="J108" s="24"/>
      <c r="K108" s="334"/>
      <c r="L108" s="333"/>
      <c r="M108" s="343"/>
      <c r="N108" s="344"/>
      <c r="O108" s="337"/>
      <c r="P108" s="671"/>
      <c r="Q108" s="672"/>
      <c r="R108" s="673"/>
    </row>
    <row r="109" spans="1:18" x14ac:dyDescent="0.2">
      <c r="A109" s="671"/>
      <c r="B109" s="672"/>
      <c r="C109" s="673"/>
      <c r="D109" s="338"/>
      <c r="E109" s="330"/>
      <c r="F109" s="331"/>
      <c r="G109" s="332"/>
      <c r="H109" s="333"/>
      <c r="I109" s="347"/>
      <c r="J109" s="333"/>
      <c r="K109" s="334"/>
      <c r="L109" s="333"/>
      <c r="M109" s="343"/>
      <c r="N109" s="344"/>
      <c r="O109" s="337"/>
      <c r="P109" s="671"/>
      <c r="Q109" s="672"/>
      <c r="R109" s="673"/>
    </row>
    <row r="110" spans="1:18" x14ac:dyDescent="0.2">
      <c r="A110" s="671"/>
      <c r="B110" s="672"/>
      <c r="C110" s="673"/>
      <c r="D110" s="338"/>
      <c r="E110" s="330"/>
      <c r="F110" s="331"/>
      <c r="G110" s="332"/>
      <c r="H110" s="333"/>
      <c r="I110" s="330"/>
      <c r="J110" s="333"/>
      <c r="K110" s="349"/>
      <c r="L110" s="24"/>
      <c r="M110" s="343"/>
      <c r="N110" s="344"/>
      <c r="O110" s="337"/>
      <c r="P110" s="671"/>
      <c r="Q110" s="672"/>
      <c r="R110" s="673"/>
    </row>
    <row r="111" spans="1:18" x14ac:dyDescent="0.2">
      <c r="A111" s="677"/>
      <c r="B111" s="678"/>
      <c r="C111" s="679"/>
      <c r="D111" s="354"/>
      <c r="E111" s="355"/>
      <c r="F111" s="356"/>
      <c r="G111" s="357"/>
      <c r="H111" s="358"/>
      <c r="I111" s="355"/>
      <c r="J111" s="358"/>
      <c r="K111" s="62"/>
      <c r="L111" s="358"/>
      <c r="M111" s="359"/>
      <c r="N111" s="37"/>
      <c r="O111" s="360"/>
      <c r="P111" s="677"/>
      <c r="Q111" s="678"/>
      <c r="R111" s="679"/>
    </row>
  </sheetData>
  <mergeCells count="219">
    <mergeCell ref="P2:Q2"/>
    <mergeCell ref="A109:C109"/>
    <mergeCell ref="P109:R109"/>
    <mergeCell ref="A110:C110"/>
    <mergeCell ref="P110:R110"/>
    <mergeCell ref="A111:C111"/>
    <mergeCell ref="P111:R111"/>
    <mergeCell ref="A106:C106"/>
    <mergeCell ref="P106:R106"/>
    <mergeCell ref="A107:C107"/>
    <mergeCell ref="P107:R107"/>
    <mergeCell ref="A108:C108"/>
    <mergeCell ref="P108:R108"/>
    <mergeCell ref="A103:C103"/>
    <mergeCell ref="P103:R103"/>
    <mergeCell ref="A104:C104"/>
    <mergeCell ref="P104:R104"/>
    <mergeCell ref="A105:C105"/>
    <mergeCell ref="P105:R105"/>
    <mergeCell ref="A100:C100"/>
    <mergeCell ref="P100:R100"/>
    <mergeCell ref="A101:C101"/>
    <mergeCell ref="P101:R101"/>
    <mergeCell ref="A102:C102"/>
    <mergeCell ref="P102:R102"/>
    <mergeCell ref="A97:C97"/>
    <mergeCell ref="P97:R97"/>
    <mergeCell ref="A98:C98"/>
    <mergeCell ref="P98:R98"/>
    <mergeCell ref="A99:C99"/>
    <mergeCell ref="P99:R99"/>
    <mergeCell ref="A94:C94"/>
    <mergeCell ref="P94:R94"/>
    <mergeCell ref="A95:C95"/>
    <mergeCell ref="P95:R95"/>
    <mergeCell ref="A96:C96"/>
    <mergeCell ref="P96:R96"/>
    <mergeCell ref="A91:C91"/>
    <mergeCell ref="P91:R91"/>
    <mergeCell ref="A92:C92"/>
    <mergeCell ref="P92:R92"/>
    <mergeCell ref="A93:C93"/>
    <mergeCell ref="P93:R93"/>
    <mergeCell ref="A88:C88"/>
    <mergeCell ref="P88:R88"/>
    <mergeCell ref="A89:C89"/>
    <mergeCell ref="P89:R89"/>
    <mergeCell ref="A90:C90"/>
    <mergeCell ref="P90:R90"/>
    <mergeCell ref="A85:C85"/>
    <mergeCell ref="P85:R85"/>
    <mergeCell ref="A86:C86"/>
    <mergeCell ref="P86:R86"/>
    <mergeCell ref="A87:C87"/>
    <mergeCell ref="P87:R87"/>
    <mergeCell ref="P82:R82"/>
    <mergeCell ref="A83:C83"/>
    <mergeCell ref="P83:R83"/>
    <mergeCell ref="A84:C84"/>
    <mergeCell ref="P84:R84"/>
    <mergeCell ref="P79:R79"/>
    <mergeCell ref="P80:R80"/>
    <mergeCell ref="P81:R81"/>
    <mergeCell ref="P76:R76"/>
    <mergeCell ref="P77:R77"/>
    <mergeCell ref="P78:R78"/>
    <mergeCell ref="P73:R73"/>
    <mergeCell ref="P74:R74"/>
    <mergeCell ref="P75:R75"/>
    <mergeCell ref="P70:R70"/>
    <mergeCell ref="P71:R71"/>
    <mergeCell ref="P72:R72"/>
    <mergeCell ref="A67:C67"/>
    <mergeCell ref="P67:R67"/>
    <mergeCell ref="A68:C68"/>
    <mergeCell ref="P68:R68"/>
    <mergeCell ref="P69:R69"/>
    <mergeCell ref="A64:C64"/>
    <mergeCell ref="P64:R64"/>
    <mergeCell ref="A65:C65"/>
    <mergeCell ref="P65:R65"/>
    <mergeCell ref="A66:C66"/>
    <mergeCell ref="P66:R66"/>
    <mergeCell ref="P60:R60"/>
    <mergeCell ref="A61:C61"/>
    <mergeCell ref="P61:R61"/>
    <mergeCell ref="A62:C62"/>
    <mergeCell ref="P62:R62"/>
    <mergeCell ref="A63:C63"/>
    <mergeCell ref="P63:R63"/>
    <mergeCell ref="P54:R54"/>
    <mergeCell ref="P55:R55"/>
    <mergeCell ref="P56:R56"/>
    <mergeCell ref="P57:R57"/>
    <mergeCell ref="P58:R58"/>
    <mergeCell ref="P59:R59"/>
    <mergeCell ref="A55:C55"/>
    <mergeCell ref="A56:C56"/>
    <mergeCell ref="A57:C57"/>
    <mergeCell ref="A58:C58"/>
    <mergeCell ref="A59:C59"/>
    <mergeCell ref="A60:C60"/>
    <mergeCell ref="P48:R48"/>
    <mergeCell ref="P49:R49"/>
    <mergeCell ref="P50:R50"/>
    <mergeCell ref="P51:R51"/>
    <mergeCell ref="P52:R52"/>
    <mergeCell ref="P53:R53"/>
    <mergeCell ref="P42:R42"/>
    <mergeCell ref="P43:R43"/>
    <mergeCell ref="P44:R44"/>
    <mergeCell ref="P45:R45"/>
    <mergeCell ref="P46:R46"/>
    <mergeCell ref="P47:R47"/>
    <mergeCell ref="P36:R36"/>
    <mergeCell ref="P37:R37"/>
    <mergeCell ref="P38:R38"/>
    <mergeCell ref="P39:R39"/>
    <mergeCell ref="P40:R40"/>
    <mergeCell ref="P41:R41"/>
    <mergeCell ref="P30:R30"/>
    <mergeCell ref="P31:R31"/>
    <mergeCell ref="P32:R32"/>
    <mergeCell ref="P33:R33"/>
    <mergeCell ref="P34:R34"/>
    <mergeCell ref="P35:R35"/>
    <mergeCell ref="P24:R24"/>
    <mergeCell ref="P25:R25"/>
    <mergeCell ref="P26:R26"/>
    <mergeCell ref="P27:R27"/>
    <mergeCell ref="P28:R28"/>
    <mergeCell ref="P29:R29"/>
    <mergeCell ref="P18:R18"/>
    <mergeCell ref="P19:R19"/>
    <mergeCell ref="P20:R20"/>
    <mergeCell ref="P21:R21"/>
    <mergeCell ref="P22:R22"/>
    <mergeCell ref="P23:R23"/>
    <mergeCell ref="P12:R12"/>
    <mergeCell ref="P13:R13"/>
    <mergeCell ref="P14:R14"/>
    <mergeCell ref="P15:R15"/>
    <mergeCell ref="P16:R16"/>
    <mergeCell ref="P17:R17"/>
    <mergeCell ref="P6:R6"/>
    <mergeCell ref="P7:R7"/>
    <mergeCell ref="P8:R8"/>
    <mergeCell ref="P9:R9"/>
    <mergeCell ref="P10:R10"/>
    <mergeCell ref="P11:R11"/>
    <mergeCell ref="A51:C51"/>
    <mergeCell ref="A52:C52"/>
    <mergeCell ref="A53:C53"/>
    <mergeCell ref="A54:C54"/>
    <mergeCell ref="A44:C44"/>
    <mergeCell ref="A45:C45"/>
    <mergeCell ref="A46:C46"/>
    <mergeCell ref="A47:C47"/>
    <mergeCell ref="A48:C48"/>
    <mergeCell ref="A77:C77"/>
    <mergeCell ref="A78:C78"/>
    <mergeCell ref="A70:C70"/>
    <mergeCell ref="A71:C71"/>
    <mergeCell ref="A72:C72"/>
    <mergeCell ref="A73:C73"/>
    <mergeCell ref="A74:C74"/>
    <mergeCell ref="A75:C75"/>
    <mergeCell ref="A82:C82"/>
    <mergeCell ref="A79:C79"/>
    <mergeCell ref="A80:C80"/>
    <mergeCell ref="A81:C81"/>
    <mergeCell ref="A28:C28"/>
    <mergeCell ref="A29:C29"/>
    <mergeCell ref="A69:C69"/>
    <mergeCell ref="A19:C19"/>
    <mergeCell ref="A20:C20"/>
    <mergeCell ref="A76:C76"/>
    <mergeCell ref="A22:C22"/>
    <mergeCell ref="A23:C23"/>
    <mergeCell ref="A24:C24"/>
    <mergeCell ref="A25:C25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1:C21"/>
    <mergeCell ref="A49:C49"/>
    <mergeCell ref="A50:C50"/>
    <mergeCell ref="A42:C42"/>
    <mergeCell ref="A43:C43"/>
    <mergeCell ref="L1:M1"/>
    <mergeCell ref="L2:M2"/>
    <mergeCell ref="D3:F3"/>
    <mergeCell ref="L3:M3"/>
    <mergeCell ref="A4:C4"/>
    <mergeCell ref="D4:F4"/>
    <mergeCell ref="L4:M4"/>
    <mergeCell ref="A15:C15"/>
    <mergeCell ref="A16:C16"/>
    <mergeCell ref="A13:C13"/>
    <mergeCell ref="A14:C14"/>
    <mergeCell ref="A7:C7"/>
    <mergeCell ref="A8:C8"/>
    <mergeCell ref="A9:C9"/>
    <mergeCell ref="A10:C10"/>
    <mergeCell ref="A11:C11"/>
    <mergeCell ref="A12:C12"/>
    <mergeCell ref="A17:C17"/>
    <mergeCell ref="A18:C18"/>
    <mergeCell ref="A41:C41"/>
    <mergeCell ref="A26:C26"/>
    <mergeCell ref="A27:C27"/>
  </mergeCells>
  <hyperlinks>
    <hyperlink ref="D9" r:id="rId1"/>
    <hyperlink ref="D10" r:id="rId2"/>
    <hyperlink ref="D16" r:id="rId3" display="A/315"/>
    <hyperlink ref="D21" r:id="rId4"/>
    <hyperlink ref="D26" r:id="rId5"/>
    <hyperlink ref="D32" r:id="rId6"/>
    <hyperlink ref="O19" location="'Masonry Price'!A1" display="P4"/>
    <hyperlink ref="O24" location="'Masonry Price'!A1" display="P4"/>
    <hyperlink ref="O29" location="'Masonry Price'!A1" display="P4"/>
    <hyperlink ref="O36" location="'Masonry Price'!A1" display="P4"/>
    <hyperlink ref="O32" location="'Steel Price'!A1" display="P5"/>
    <hyperlink ref="O12" location="'Masonry Price'!A1" display="P4"/>
    <hyperlink ref="P2" location="'Table of Contents'!A1" display="Table of Contents"/>
  </hyperlinks>
  <pageMargins left="0.7" right="0.7" top="0.75" bottom="0.75" header="0.3" footer="0.3"/>
  <pageSetup orientation="portrait" horizontalDpi="1200" verticalDpi="1200" r:id="rId7"/>
  <drawing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24" activePane="bottomLeft" state="frozen"/>
      <selection pane="bottomLeft" activeCell="M36" sqref="M36"/>
    </sheetView>
  </sheetViews>
  <sheetFormatPr defaultRowHeight="12.75" x14ac:dyDescent="0.2"/>
  <cols>
    <col min="1" max="2" width="2.7109375" style="292" customWidth="1"/>
    <col min="3" max="3" width="15.85546875" style="469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5.1406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703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668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19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88</v>
      </c>
      <c r="D9" s="575">
        <v>4</v>
      </c>
      <c r="E9" s="476">
        <f>Masonry!M12</f>
        <v>54.27</v>
      </c>
      <c r="F9" s="263" t="s">
        <v>108</v>
      </c>
      <c r="G9" s="434">
        <v>600</v>
      </c>
      <c r="H9" s="435">
        <f>G9*E9</f>
        <v>32562.000000000004</v>
      </c>
      <c r="I9" s="436" t="s">
        <v>474</v>
      </c>
      <c r="J9" s="263">
        <v>2</v>
      </c>
      <c r="K9" s="263">
        <f>E9/J9</f>
        <v>27.135000000000002</v>
      </c>
      <c r="L9" s="263">
        <f>8*K9</f>
        <v>217.08</v>
      </c>
      <c r="M9" s="263" t="s">
        <v>475</v>
      </c>
      <c r="N9" s="437">
        <v>4</v>
      </c>
      <c r="O9" s="434">
        <v>28</v>
      </c>
      <c r="P9" s="438">
        <f>O11*L9</f>
        <v>36035.279999999999</v>
      </c>
      <c r="Q9" s="439"/>
      <c r="R9" s="434"/>
      <c r="S9" s="435"/>
      <c r="T9" s="478">
        <f>S9+P9+H9</f>
        <v>68597.279999999999</v>
      </c>
      <c r="U9" s="436">
        <f>T9/E9</f>
        <v>1264</v>
      </c>
      <c r="V9" s="441" t="str">
        <f>F9</f>
        <v>M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/>
      <c r="I10" s="436"/>
      <c r="J10" s="263"/>
      <c r="K10" s="263"/>
      <c r="L10" s="263"/>
      <c r="M10" s="442" t="s">
        <v>476</v>
      </c>
      <c r="N10" s="443">
        <v>3</v>
      </c>
      <c r="O10" s="434">
        <v>18</v>
      </c>
      <c r="P10" s="438"/>
      <c r="Q10" s="439"/>
      <c r="R10" s="434"/>
      <c r="S10" s="435"/>
      <c r="T10" s="478"/>
      <c r="U10" s="436"/>
      <c r="V10" s="441"/>
    </row>
    <row r="11" spans="1:24" x14ac:dyDescent="0.2">
      <c r="A11" s="444"/>
      <c r="B11" s="281"/>
      <c r="C11" s="432"/>
      <c r="D11" s="263"/>
      <c r="E11" s="263"/>
      <c r="F11" s="263"/>
      <c r="G11" s="434"/>
      <c r="H11" s="435"/>
      <c r="I11" s="436"/>
      <c r="J11" s="263"/>
      <c r="K11" s="263"/>
      <c r="L11" s="263"/>
      <c r="M11" s="263"/>
      <c r="N11" s="437"/>
      <c r="O11" s="434">
        <f>O9*N9+O10*N10</f>
        <v>166</v>
      </c>
      <c r="P11" s="438"/>
      <c r="Q11" s="439"/>
      <c r="R11" s="434"/>
      <c r="S11" s="435"/>
      <c r="T11" s="478"/>
      <c r="U11" s="436"/>
      <c r="V11" s="441"/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x14ac:dyDescent="0.2">
      <c r="A13" s="431"/>
      <c r="B13" s="281"/>
      <c r="C13" s="432"/>
      <c r="D13" s="263"/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/>
      <c r="U13" s="436"/>
      <c r="V13" s="441"/>
    </row>
    <row r="14" spans="1:24" ht="15" x14ac:dyDescent="0.25">
      <c r="A14" s="444"/>
      <c r="B14" s="281"/>
      <c r="C14" s="432" t="s">
        <v>477</v>
      </c>
      <c r="D14" s="575">
        <v>4</v>
      </c>
      <c r="E14" s="476">
        <f>Masonry!K18</f>
        <v>2600.5</v>
      </c>
      <c r="F14" s="263" t="s">
        <v>348</v>
      </c>
      <c r="G14" s="434">
        <v>3.22</v>
      </c>
      <c r="H14" s="435">
        <f>G14*E14</f>
        <v>8373.61</v>
      </c>
      <c r="I14" s="436" t="s">
        <v>478</v>
      </c>
      <c r="J14" s="263">
        <v>360</v>
      </c>
      <c r="K14" s="263">
        <f>E14/J14</f>
        <v>7.2236111111111114</v>
      </c>
      <c r="L14" s="263">
        <f>8*K14</f>
        <v>57.788888888888891</v>
      </c>
      <c r="M14" s="263" t="s">
        <v>475</v>
      </c>
      <c r="N14" s="437">
        <v>3</v>
      </c>
      <c r="O14" s="434">
        <v>28</v>
      </c>
      <c r="P14" s="438">
        <f>O16*L14</f>
        <v>6934.666666666667</v>
      </c>
      <c r="Q14" s="439"/>
      <c r="R14" s="434"/>
      <c r="S14" s="435"/>
      <c r="T14" s="478">
        <f>S14+P14+H14</f>
        <v>15308.276666666668</v>
      </c>
      <c r="U14" s="436">
        <f>T14/E14</f>
        <v>5.8866666666666676</v>
      </c>
      <c r="V14" s="441" t="str">
        <f>F14</f>
        <v>sf</v>
      </c>
    </row>
    <row r="15" spans="1:24" x14ac:dyDescent="0.2">
      <c r="A15" s="431"/>
      <c r="B15" s="281"/>
      <c r="C15" s="432"/>
      <c r="D15" s="263"/>
      <c r="E15" s="263"/>
      <c r="F15" s="263"/>
      <c r="G15" s="434"/>
      <c r="H15" s="435"/>
      <c r="I15" s="436"/>
      <c r="J15" s="263"/>
      <c r="K15" s="263"/>
      <c r="L15" s="263"/>
      <c r="M15" s="442" t="s">
        <v>476</v>
      </c>
      <c r="N15" s="443">
        <v>2</v>
      </c>
      <c r="O15" s="434">
        <v>18</v>
      </c>
      <c r="P15" s="438"/>
      <c r="Q15" s="439"/>
      <c r="R15" s="434"/>
      <c r="S15" s="435"/>
      <c r="T15" s="478"/>
      <c r="U15" s="436"/>
      <c r="V15" s="441"/>
    </row>
    <row r="16" spans="1:24" x14ac:dyDescent="0.2">
      <c r="A16" s="431"/>
      <c r="B16" s="281"/>
      <c r="C16" s="432"/>
      <c r="D16" s="263"/>
      <c r="E16" s="263"/>
      <c r="F16" s="263"/>
      <c r="G16" s="434"/>
      <c r="H16" s="435"/>
      <c r="I16" s="436"/>
      <c r="J16" s="263"/>
      <c r="K16" s="263"/>
      <c r="L16" s="263"/>
      <c r="M16" s="263"/>
      <c r="N16" s="437"/>
      <c r="O16" s="434">
        <f>O14*N14+O15*N15</f>
        <v>120</v>
      </c>
      <c r="P16" s="438"/>
      <c r="Q16" s="439"/>
      <c r="R16" s="434"/>
      <c r="S16" s="435"/>
      <c r="T16" s="478"/>
      <c r="U16" s="436"/>
      <c r="V16" s="441"/>
    </row>
    <row r="17" spans="1:22" x14ac:dyDescent="0.2">
      <c r="A17" s="444"/>
      <c r="B17" s="281"/>
      <c r="C17" s="43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ht="15" x14ac:dyDescent="0.25">
      <c r="A18" s="431"/>
      <c r="B18" s="281"/>
      <c r="C18" s="432" t="s">
        <v>120</v>
      </c>
      <c r="D18" s="575">
        <v>4</v>
      </c>
      <c r="E18" s="476">
        <f>Masonry!K28</f>
        <v>1954.8824999999999</v>
      </c>
      <c r="F18" s="263" t="s">
        <v>348</v>
      </c>
      <c r="G18" s="434">
        <v>1.05</v>
      </c>
      <c r="H18" s="435">
        <f>G18*E18</f>
        <v>2052.6266249999999</v>
      </c>
      <c r="I18" s="436" t="s">
        <v>479</v>
      </c>
      <c r="J18" s="263">
        <v>680</v>
      </c>
      <c r="K18" s="263">
        <f>E18/J18</f>
        <v>2.8748272058823527</v>
      </c>
      <c r="L18" s="263">
        <f>8*K18</f>
        <v>22.998617647058822</v>
      </c>
      <c r="M18" s="263" t="s">
        <v>475</v>
      </c>
      <c r="N18" s="437">
        <v>1</v>
      </c>
      <c r="O18" s="434">
        <v>28</v>
      </c>
      <c r="P18" s="438">
        <f>O21*L18</f>
        <v>1986.620592352941</v>
      </c>
      <c r="Q18" s="439" t="s">
        <v>481</v>
      </c>
      <c r="R18" s="434">
        <v>127.4</v>
      </c>
      <c r="S18" s="435">
        <f>R18*K18</f>
        <v>366.25298602941177</v>
      </c>
      <c r="T18" s="478">
        <f>S18+P18+H18</f>
        <v>4405.500203382353</v>
      </c>
      <c r="U18" s="436">
        <f>T18/E18</f>
        <v>2.2535882352941177</v>
      </c>
      <c r="V18" s="441" t="str">
        <f>F18</f>
        <v>sf</v>
      </c>
    </row>
    <row r="19" spans="1:22" x14ac:dyDescent="0.2">
      <c r="A19" s="431"/>
      <c r="B19" s="281"/>
      <c r="C19" s="432"/>
      <c r="D19" s="263"/>
      <c r="E19" s="263"/>
      <c r="F19" s="263"/>
      <c r="G19" s="434"/>
      <c r="H19" s="435"/>
      <c r="I19" s="436"/>
      <c r="J19" s="263"/>
      <c r="K19" s="263"/>
      <c r="L19" s="263"/>
      <c r="M19" s="442" t="s">
        <v>476</v>
      </c>
      <c r="N19" s="443">
        <v>2</v>
      </c>
      <c r="O19" s="434">
        <v>18</v>
      </c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432"/>
      <c r="D20" s="263"/>
      <c r="E20" s="263"/>
      <c r="F20" s="263"/>
      <c r="G20" s="434"/>
      <c r="H20" s="435"/>
      <c r="I20" s="436"/>
      <c r="J20" s="263"/>
      <c r="K20" s="263"/>
      <c r="L20" s="263"/>
      <c r="M20" s="263" t="s">
        <v>480</v>
      </c>
      <c r="N20" s="437">
        <v>1</v>
      </c>
      <c r="O20" s="434">
        <v>22.38</v>
      </c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43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>
        <f>O18+O19*N19+O20</f>
        <v>86.38</v>
      </c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43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ht="15" x14ac:dyDescent="0.25">
      <c r="A23" s="431"/>
      <c r="B23" s="281"/>
      <c r="C23" s="432" t="s">
        <v>104</v>
      </c>
      <c r="D23" s="575">
        <v>4</v>
      </c>
      <c r="E23" s="263">
        <f>Masonry!I13*1.05</f>
        <v>338.1</v>
      </c>
      <c r="F23" s="263" t="s">
        <v>348</v>
      </c>
      <c r="G23" s="434">
        <v>18.079999999999998</v>
      </c>
      <c r="H23" s="435">
        <f>G23*E23</f>
        <v>6112.848</v>
      </c>
      <c r="I23" s="436" t="s">
        <v>482</v>
      </c>
      <c r="J23" s="263">
        <v>75</v>
      </c>
      <c r="K23" s="263">
        <f>E23/J23</f>
        <v>4.508</v>
      </c>
      <c r="L23" s="263">
        <f>8*K23</f>
        <v>36.064</v>
      </c>
      <c r="M23" s="263" t="s">
        <v>475</v>
      </c>
      <c r="N23" s="437">
        <v>1</v>
      </c>
      <c r="O23" s="434">
        <v>28</v>
      </c>
      <c r="P23" s="438">
        <f>O25*L23</f>
        <v>1658.944</v>
      </c>
      <c r="Q23" s="439"/>
      <c r="R23" s="434"/>
      <c r="S23" s="435"/>
      <c r="T23" s="478">
        <f>S23+P23+H23</f>
        <v>7771.7919999999995</v>
      </c>
      <c r="U23" s="436">
        <f>T23/E23</f>
        <v>22.986666666666665</v>
      </c>
      <c r="V23" s="441" t="str">
        <f>F23</f>
        <v>sf</v>
      </c>
    </row>
    <row r="24" spans="1:22" x14ac:dyDescent="0.2">
      <c r="A24" s="431"/>
      <c r="B24" s="281"/>
      <c r="C24" s="432"/>
      <c r="D24" s="263"/>
      <c r="E24" s="263"/>
      <c r="F24" s="263"/>
      <c r="G24" s="434"/>
      <c r="H24" s="435"/>
      <c r="I24" s="436"/>
      <c r="J24" s="263"/>
      <c r="K24" s="263"/>
      <c r="L24" s="263"/>
      <c r="M24" s="442" t="s">
        <v>476</v>
      </c>
      <c r="N24" s="443">
        <v>1</v>
      </c>
      <c r="O24" s="434">
        <v>18</v>
      </c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43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>
        <f>O23*N23+O24*N24</f>
        <v>46</v>
      </c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43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ht="15" x14ac:dyDescent="0.25">
      <c r="A27" s="431"/>
      <c r="B27" s="281"/>
      <c r="C27" s="432" t="s">
        <v>118</v>
      </c>
      <c r="D27" s="575">
        <v>4</v>
      </c>
      <c r="E27" s="263">
        <v>70</v>
      </c>
      <c r="F27" s="263" t="s">
        <v>483</v>
      </c>
      <c r="G27" s="434">
        <v>14.99</v>
      </c>
      <c r="H27" s="435">
        <f>G27*E27</f>
        <v>1049.3</v>
      </c>
      <c r="I27" s="436" t="s">
        <v>484</v>
      </c>
      <c r="J27" s="263">
        <v>20</v>
      </c>
      <c r="K27" s="263">
        <f>E27/J27</f>
        <v>3.5</v>
      </c>
      <c r="L27" s="263">
        <f>8*K27</f>
        <v>28</v>
      </c>
      <c r="M27" s="263" t="s">
        <v>485</v>
      </c>
      <c r="N27" s="437">
        <v>2</v>
      </c>
      <c r="O27" s="434">
        <v>18</v>
      </c>
      <c r="P27" s="438">
        <f>O27*N27*L27</f>
        <v>1008</v>
      </c>
      <c r="Q27" s="439"/>
      <c r="R27" s="434"/>
      <c r="S27" s="435"/>
      <c r="T27" s="478">
        <f>S27+P27+H27</f>
        <v>2057.3000000000002</v>
      </c>
      <c r="U27" s="436">
        <f>T27/E27</f>
        <v>29.390000000000004</v>
      </c>
      <c r="V27" s="441" t="str">
        <f>F27</f>
        <v>bags</v>
      </c>
    </row>
    <row r="28" spans="1:22" x14ac:dyDescent="0.2">
      <c r="A28" s="431"/>
      <c r="B28" s="281"/>
      <c r="C28" s="43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ht="15" x14ac:dyDescent="0.25">
      <c r="A29" s="431"/>
      <c r="B29" s="281"/>
      <c r="C29" s="432" t="s">
        <v>127</v>
      </c>
      <c r="D29" s="575">
        <v>4</v>
      </c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432" t="s">
        <v>486</v>
      </c>
      <c r="D30" s="263"/>
      <c r="E30" s="263">
        <v>64</v>
      </c>
      <c r="F30" s="263" t="s">
        <v>433</v>
      </c>
      <c r="G30" s="434">
        <v>59.7</v>
      </c>
      <c r="H30" s="435">
        <f>G30*E30</f>
        <v>3820.8</v>
      </c>
      <c r="I30" s="436" t="s">
        <v>487</v>
      </c>
      <c r="J30" s="263">
        <v>17</v>
      </c>
      <c r="K30" s="263">
        <f>E30/J30</f>
        <v>3.7647058823529411</v>
      </c>
      <c r="L30" s="263">
        <f>8*K30</f>
        <v>30.117647058823529</v>
      </c>
      <c r="M30" s="263" t="s">
        <v>488</v>
      </c>
      <c r="N30" s="437">
        <v>1</v>
      </c>
      <c r="O30" s="434">
        <v>22.05</v>
      </c>
      <c r="P30" s="438">
        <f>O30*N30*L30</f>
        <v>664.09411764705885</v>
      </c>
      <c r="Q30" s="439"/>
      <c r="R30" s="434"/>
      <c r="S30" s="435"/>
      <c r="T30" s="478">
        <f>S30+P30+H30</f>
        <v>4484.8941176470589</v>
      </c>
      <c r="U30" s="436">
        <f>T30/E30</f>
        <v>70.076470588235296</v>
      </c>
      <c r="V30" s="441" t="str">
        <f>F30</f>
        <v>ea</v>
      </c>
    </row>
    <row r="31" spans="1:22" x14ac:dyDescent="0.2">
      <c r="A31" s="431"/>
      <c r="B31" s="281"/>
      <c r="C31" s="432" t="s">
        <v>489</v>
      </c>
      <c r="D31" s="263"/>
      <c r="E31" s="263">
        <v>56</v>
      </c>
      <c r="F31" s="263" t="s">
        <v>433</v>
      </c>
      <c r="G31" s="434">
        <v>23.38</v>
      </c>
      <c r="H31" s="435">
        <f>G31*E31</f>
        <v>1309.28</v>
      </c>
      <c r="I31" s="436" t="s">
        <v>487</v>
      </c>
      <c r="J31" s="263">
        <v>19</v>
      </c>
      <c r="K31" s="263">
        <f>E31/J31</f>
        <v>2.9473684210526314</v>
      </c>
      <c r="L31" s="263">
        <f>8*K31</f>
        <v>23.578947368421051</v>
      </c>
      <c r="M31" s="263" t="s">
        <v>488</v>
      </c>
      <c r="N31" s="437">
        <v>1</v>
      </c>
      <c r="O31" s="434">
        <v>22.05</v>
      </c>
      <c r="P31" s="438">
        <f>O31*N31*L31</f>
        <v>519.91578947368419</v>
      </c>
      <c r="Q31" s="439"/>
      <c r="R31" s="434"/>
      <c r="S31" s="435"/>
      <c r="T31" s="478">
        <f>S31+P31+H31</f>
        <v>1829.1957894736843</v>
      </c>
      <c r="U31" s="436">
        <f>T31/E31</f>
        <v>32.664210526315792</v>
      </c>
      <c r="V31" s="441" t="str">
        <f>F31</f>
        <v>ea</v>
      </c>
    </row>
    <row r="32" spans="1:22" x14ac:dyDescent="0.2">
      <c r="A32" s="431"/>
      <c r="B32" s="281"/>
      <c r="C32" s="432" t="s">
        <v>490</v>
      </c>
      <c r="D32" s="263"/>
      <c r="E32" s="263">
        <v>192</v>
      </c>
      <c r="F32" s="263" t="s">
        <v>433</v>
      </c>
      <c r="G32" s="434">
        <v>11.29</v>
      </c>
      <c r="H32" s="435">
        <f>G32*E32</f>
        <v>2167.6799999999998</v>
      </c>
      <c r="I32" s="436" t="s">
        <v>491</v>
      </c>
      <c r="J32" s="263">
        <v>40</v>
      </c>
      <c r="K32" s="263">
        <f>E32/J32</f>
        <v>4.8</v>
      </c>
      <c r="L32" s="263">
        <f>8*K32</f>
        <v>38.4</v>
      </c>
      <c r="M32" s="263" t="s">
        <v>488</v>
      </c>
      <c r="N32" s="437">
        <v>2</v>
      </c>
      <c r="O32" s="434">
        <v>22.05</v>
      </c>
      <c r="P32" s="438">
        <f>O32*N32*L32</f>
        <v>1693.44</v>
      </c>
      <c r="Q32" s="439"/>
      <c r="R32" s="434"/>
      <c r="S32" s="435"/>
      <c r="T32" s="478">
        <f>S32+P32+H32</f>
        <v>3861.12</v>
      </c>
      <c r="U32" s="436">
        <f>T32/E32</f>
        <v>20.11</v>
      </c>
      <c r="V32" s="441" t="str">
        <f>F32</f>
        <v>ea</v>
      </c>
    </row>
    <row r="33" spans="1:22" x14ac:dyDescent="0.2">
      <c r="A33" s="431"/>
      <c r="B33" s="281"/>
      <c r="C33" s="43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ht="15" x14ac:dyDescent="0.25">
      <c r="A34" s="431"/>
      <c r="B34" s="281"/>
      <c r="C34" s="432" t="s">
        <v>492</v>
      </c>
      <c r="D34" s="575">
        <v>4</v>
      </c>
      <c r="E34" s="263">
        <v>4</v>
      </c>
      <c r="F34" s="263" t="s">
        <v>433</v>
      </c>
      <c r="G34" s="434">
        <v>150</v>
      </c>
      <c r="H34" s="435">
        <f>G34*E34</f>
        <v>600</v>
      </c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>
        <f>S34+P34+H34</f>
        <v>600</v>
      </c>
      <c r="U34" s="436">
        <f>T34/E34</f>
        <v>150</v>
      </c>
      <c r="V34" s="441" t="str">
        <f>F34</f>
        <v>ea</v>
      </c>
    </row>
    <row r="35" spans="1:22" x14ac:dyDescent="0.2">
      <c r="A35" s="431"/>
      <c r="B35" s="281"/>
      <c r="C35" s="43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ht="15" x14ac:dyDescent="0.25">
      <c r="A36" s="431"/>
      <c r="B36" s="281"/>
      <c r="C36" s="432" t="s">
        <v>493</v>
      </c>
      <c r="D36" s="575">
        <v>4</v>
      </c>
      <c r="E36" s="263">
        <v>492</v>
      </c>
      <c r="F36" s="263" t="s">
        <v>195</v>
      </c>
      <c r="G36" s="434">
        <v>1.81</v>
      </c>
      <c r="H36" s="435">
        <f>G36*E36</f>
        <v>890.52</v>
      </c>
      <c r="I36" s="436" t="s">
        <v>494</v>
      </c>
      <c r="J36" s="263">
        <v>400</v>
      </c>
      <c r="K36" s="263">
        <f>E36/J36</f>
        <v>1.23</v>
      </c>
      <c r="L36" s="263">
        <f>8*K36</f>
        <v>9.84</v>
      </c>
      <c r="M36" s="263" t="s">
        <v>495</v>
      </c>
      <c r="N36" s="437">
        <v>1</v>
      </c>
      <c r="O36" s="434">
        <v>28</v>
      </c>
      <c r="P36" s="438">
        <f>O36*L36</f>
        <v>275.52</v>
      </c>
      <c r="Q36" s="439"/>
      <c r="R36" s="434"/>
      <c r="S36" s="435"/>
      <c r="T36" s="478">
        <f>S36+P36+H36</f>
        <v>1166.04</v>
      </c>
      <c r="U36" s="436">
        <f>T36/E36</f>
        <v>2.37</v>
      </c>
      <c r="V36" s="441" t="str">
        <f>F36</f>
        <v>lf</v>
      </c>
    </row>
    <row r="37" spans="1:22" x14ac:dyDescent="0.2">
      <c r="A37" s="431"/>
      <c r="B37" s="281"/>
      <c r="C37" s="43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ht="15" x14ac:dyDescent="0.25">
      <c r="A38" s="431"/>
      <c r="B38" s="281"/>
      <c r="C38" s="432" t="s">
        <v>497</v>
      </c>
      <c r="D38" s="575">
        <v>4</v>
      </c>
      <c r="E38" s="433">
        <f>Masonry!M32</f>
        <v>60.451127819548866</v>
      </c>
      <c r="F38" s="263" t="s">
        <v>498</v>
      </c>
      <c r="G38" s="434">
        <v>8.77</v>
      </c>
      <c r="H38" s="435">
        <f>G38*E38</f>
        <v>530.15639097744349</v>
      </c>
      <c r="I38" s="436" t="s">
        <v>494</v>
      </c>
      <c r="J38" s="263">
        <v>10.5</v>
      </c>
      <c r="K38" s="263">
        <f>E38/J38</f>
        <v>5.7572502685284634</v>
      </c>
      <c r="L38" s="263">
        <f>8*K38</f>
        <v>46.058002148227708</v>
      </c>
      <c r="M38" s="263" t="s">
        <v>495</v>
      </c>
      <c r="N38" s="437">
        <v>1</v>
      </c>
      <c r="O38" s="434">
        <v>28</v>
      </c>
      <c r="P38" s="438">
        <f>O38*L38</f>
        <v>1289.6240601503757</v>
      </c>
      <c r="Q38" s="439"/>
      <c r="R38" s="434"/>
      <c r="S38" s="435"/>
      <c r="T38" s="478">
        <f>S38+P38+H38</f>
        <v>1819.7804511278191</v>
      </c>
      <c r="U38" s="436">
        <f>T38/E38</f>
        <v>30.103333333333328</v>
      </c>
      <c r="V38" s="441" t="str">
        <f>F38</f>
        <v>c</v>
      </c>
    </row>
    <row r="39" spans="1:22" ht="15" x14ac:dyDescent="0.25">
      <c r="A39" s="431"/>
      <c r="B39" s="281"/>
      <c r="C39" s="432" t="s">
        <v>502</v>
      </c>
      <c r="D39" s="575">
        <v>4</v>
      </c>
      <c r="E39" s="263">
        <f>Masonry!M33</f>
        <v>100.36</v>
      </c>
      <c r="F39" s="263" t="s">
        <v>501</v>
      </c>
      <c r="G39" s="434">
        <v>54.34</v>
      </c>
      <c r="H39" s="435">
        <f>G39*E39</f>
        <v>5453.5624000000007</v>
      </c>
      <c r="I39" s="436" t="s">
        <v>503</v>
      </c>
      <c r="J39" s="263">
        <v>5</v>
      </c>
      <c r="K39" s="263">
        <f>E39/J39</f>
        <v>20.071999999999999</v>
      </c>
      <c r="L39" s="263">
        <f>8*K39</f>
        <v>160.57599999999999</v>
      </c>
      <c r="M39" s="263" t="s">
        <v>504</v>
      </c>
      <c r="N39" s="437">
        <v>2</v>
      </c>
      <c r="O39" s="434">
        <v>19.63</v>
      </c>
      <c r="P39" s="438">
        <f>O39*N39*L39</f>
        <v>6304.2137599999996</v>
      </c>
      <c r="Q39" s="439"/>
      <c r="R39" s="434"/>
      <c r="S39" s="435"/>
      <c r="T39" s="478">
        <f>S39+P39+H39</f>
        <v>11757.776160000001</v>
      </c>
      <c r="U39" s="436">
        <f>T39/E39</f>
        <v>117.15600000000002</v>
      </c>
      <c r="V39" s="441" t="str">
        <f>F39</f>
        <v>clf</v>
      </c>
    </row>
    <row r="40" spans="1:22" ht="15" x14ac:dyDescent="0.25">
      <c r="A40" s="431"/>
      <c r="B40" s="281"/>
      <c r="C40" s="432" t="s">
        <v>518</v>
      </c>
      <c r="D40" s="575">
        <v>4</v>
      </c>
      <c r="E40" s="263">
        <v>8040</v>
      </c>
      <c r="F40" s="263" t="s">
        <v>348</v>
      </c>
      <c r="G40" s="434">
        <v>0.1</v>
      </c>
      <c r="H40" s="435">
        <f>G40*E40</f>
        <v>804</v>
      </c>
      <c r="I40" s="436" t="s">
        <v>482</v>
      </c>
      <c r="J40" s="263">
        <v>1200</v>
      </c>
      <c r="K40" s="263">
        <f>E40/J40</f>
        <v>6.7</v>
      </c>
      <c r="L40" s="263">
        <f>8*K40</f>
        <v>53.6</v>
      </c>
      <c r="M40" s="263" t="s">
        <v>475</v>
      </c>
      <c r="N40" s="437">
        <v>2</v>
      </c>
      <c r="O40" s="434">
        <v>28</v>
      </c>
      <c r="P40" s="438">
        <f>92*L40</f>
        <v>4931.2</v>
      </c>
      <c r="Q40" s="439"/>
      <c r="R40" s="434"/>
      <c r="S40" s="435"/>
      <c r="T40" s="478">
        <f>S40+P40+H40</f>
        <v>5735.2</v>
      </c>
      <c r="U40" s="436">
        <f>T40/E40</f>
        <v>0.71333333333333326</v>
      </c>
      <c r="V40" s="441" t="str">
        <f>F40</f>
        <v>sf</v>
      </c>
    </row>
    <row r="41" spans="1:22" ht="13.5" thickBot="1" x14ac:dyDescent="0.25">
      <c r="A41" s="446"/>
      <c r="B41" s="364"/>
      <c r="C41" s="447"/>
      <c r="D41" s="270"/>
      <c r="E41" s="270"/>
      <c r="F41" s="270"/>
      <c r="G41" s="448"/>
      <c r="H41" s="449"/>
      <c r="I41" s="450"/>
      <c r="J41" s="270"/>
      <c r="K41" s="442"/>
      <c r="L41" s="442"/>
      <c r="M41" s="442"/>
      <c r="N41" s="443">
        <v>2</v>
      </c>
      <c r="O41" s="434">
        <v>18</v>
      </c>
      <c r="P41" s="438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SUM(H8:H41)</f>
        <v>65726.383415977441</v>
      </c>
      <c r="I42" s="462"/>
      <c r="J42" s="463"/>
      <c r="K42" s="461">
        <f>SUM(K8:K41)</f>
        <v>90.512762888927512</v>
      </c>
      <c r="L42" s="461">
        <f>SUM(L8:L41)</f>
        <v>724.10210311142009</v>
      </c>
      <c r="M42" s="462"/>
      <c r="N42" s="464"/>
      <c r="O42" s="463"/>
      <c r="P42" s="461">
        <f>SUM(P8:P41)</f>
        <v>63301.518986290721</v>
      </c>
      <c r="Q42" s="462"/>
      <c r="R42" s="463"/>
      <c r="S42" s="465">
        <f>SUM(S8:S41)</f>
        <v>366.25298602941177</v>
      </c>
      <c r="T42" s="461">
        <f>SUM(T8:T41)</f>
        <v>129394.15538829759</v>
      </c>
      <c r="U42" s="467" t="s">
        <v>397</v>
      </c>
      <c r="V42" s="468"/>
    </row>
    <row r="43" spans="1:22" x14ac:dyDescent="0.2">
      <c r="C43" s="469" t="s">
        <v>569</v>
      </c>
      <c r="N43" s="470"/>
      <c r="S43" s="471">
        <v>0.3</v>
      </c>
      <c r="T43" s="503">
        <f>T42*1.3</f>
        <v>168212.40200478685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Masonry!A1" display="Masonry!A1"/>
    <hyperlink ref="D14" location="Masonry!A1" display="Masonry!A1"/>
    <hyperlink ref="D18" location="Masonry!A1" display="Masonry!A1"/>
    <hyperlink ref="D23" location="Masonry!A1" display="Masonry!A1"/>
    <hyperlink ref="D27" location="Masonry!A1" display="Masonry!A1"/>
    <hyperlink ref="D29" location="Masonry!A1" display="Masonry!A1"/>
    <hyperlink ref="D34" location="Masonry!A1" display="Masonry!A1"/>
    <hyperlink ref="D36" location="Masonry!A1" display="Masonry!A1"/>
    <hyperlink ref="D38" location="Masonry!A1" display="Masonry!A1"/>
    <hyperlink ref="D39" location="Masonry!A1" display="Masonry!A1"/>
    <hyperlink ref="D40" location="Masonry!A1" display="Masonry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R111"/>
  <sheetViews>
    <sheetView zoomScaleNormal="100" workbookViewId="0">
      <pane xSplit="14" ySplit="6" topLeftCell="O58" activePane="bottomRight" state="frozen"/>
      <selection pane="topRight" activeCell="O1" sqref="O1"/>
      <selection pane="bottomLeft" activeCell="A7" sqref="A7"/>
      <selection pane="bottomRight" activeCell="A73" sqref="A73:C73"/>
    </sheetView>
  </sheetViews>
  <sheetFormatPr defaultRowHeight="12.75" x14ac:dyDescent="0.2"/>
  <cols>
    <col min="1" max="3" width="9.140625" style="301"/>
    <col min="4" max="12" width="9.140625" style="292"/>
    <col min="13" max="13" width="11" style="292" bestFit="1" customWidth="1"/>
    <col min="14" max="16384" width="9.140625" style="292"/>
  </cols>
  <sheetData>
    <row r="1" spans="1:18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704</v>
      </c>
      <c r="M1" s="620"/>
      <c r="N1" s="287"/>
      <c r="O1" s="302"/>
    </row>
    <row r="2" spans="1:18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8" x14ac:dyDescent="0.2">
      <c r="A3" s="305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</row>
    <row r="4" spans="1:18" x14ac:dyDescent="0.2">
      <c r="A4" s="710" t="s">
        <v>18</v>
      </c>
      <c r="B4" s="710"/>
      <c r="C4" s="710"/>
      <c r="D4" s="711" t="s">
        <v>177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</row>
    <row r="5" spans="1:18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313"/>
      <c r="Q5" s="314"/>
      <c r="R5" s="315"/>
    </row>
    <row r="6" spans="1:18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704" t="s">
        <v>40</v>
      </c>
      <c r="Q6" s="705"/>
      <c r="R6" s="706"/>
    </row>
    <row r="7" spans="1:18" ht="15" x14ac:dyDescent="0.25">
      <c r="A7" s="759" t="s">
        <v>124</v>
      </c>
      <c r="B7" s="760"/>
      <c r="C7" s="761"/>
      <c r="D7" s="568" t="s">
        <v>731</v>
      </c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707"/>
      <c r="Q7" s="708"/>
      <c r="R7" s="709"/>
    </row>
    <row r="8" spans="1:18" ht="15" x14ac:dyDescent="0.25">
      <c r="A8" s="668" t="s">
        <v>125</v>
      </c>
      <c r="B8" s="669"/>
      <c r="C8" s="670"/>
      <c r="D8" s="22"/>
      <c r="E8" s="330"/>
      <c r="F8" s="331"/>
      <c r="G8" s="332"/>
      <c r="H8" s="333"/>
      <c r="I8" s="330">
        <v>335</v>
      </c>
      <c r="J8" s="24" t="s">
        <v>45</v>
      </c>
      <c r="K8" s="334"/>
      <c r="L8" s="333"/>
      <c r="M8" s="339">
        <f>I8</f>
        <v>335</v>
      </c>
      <c r="N8" s="336" t="s">
        <v>45</v>
      </c>
      <c r="O8" s="570" t="s">
        <v>747</v>
      </c>
      <c r="P8" s="671"/>
      <c r="Q8" s="672"/>
      <c r="R8" s="673"/>
    </row>
    <row r="9" spans="1:18" x14ac:dyDescent="0.2">
      <c r="A9" s="668" t="s">
        <v>126</v>
      </c>
      <c r="B9" s="669"/>
      <c r="C9" s="670"/>
      <c r="D9" s="22"/>
      <c r="E9" s="330"/>
      <c r="F9" s="331"/>
      <c r="G9" s="332"/>
      <c r="H9" s="333"/>
      <c r="I9" s="330">
        <v>11</v>
      </c>
      <c r="J9" s="333" t="s">
        <v>45</v>
      </c>
      <c r="K9" s="334"/>
      <c r="L9" s="333"/>
      <c r="M9" s="339">
        <f>I9</f>
        <v>11</v>
      </c>
      <c r="N9" s="336" t="s">
        <v>45</v>
      </c>
      <c r="O9" s="337"/>
      <c r="P9" s="671"/>
      <c r="Q9" s="672"/>
      <c r="R9" s="673"/>
    </row>
    <row r="10" spans="1:18" x14ac:dyDescent="0.2">
      <c r="A10" s="668"/>
      <c r="B10" s="669"/>
      <c r="C10" s="670"/>
      <c r="D10" s="22"/>
      <c r="E10" s="330"/>
      <c r="F10" s="331"/>
      <c r="G10" s="332"/>
      <c r="H10" s="333"/>
      <c r="I10" s="330"/>
      <c r="J10" s="333"/>
      <c r="K10" s="334"/>
      <c r="L10" s="333"/>
      <c r="M10" s="330"/>
      <c r="N10" s="333"/>
      <c r="O10" s="337"/>
      <c r="P10" s="671"/>
      <c r="Q10" s="672"/>
      <c r="R10" s="673"/>
    </row>
    <row r="11" spans="1:18" ht="15" x14ac:dyDescent="0.25">
      <c r="A11" s="694" t="s">
        <v>127</v>
      </c>
      <c r="B11" s="695"/>
      <c r="C11" s="696"/>
      <c r="D11" s="564" t="s">
        <v>175</v>
      </c>
      <c r="E11" s="330"/>
      <c r="F11" s="331"/>
      <c r="G11" s="332"/>
      <c r="H11" s="333"/>
      <c r="I11" s="330"/>
      <c r="J11" s="333"/>
      <c r="K11" s="334"/>
      <c r="L11" s="333"/>
      <c r="M11" s="330"/>
      <c r="N11" s="333"/>
      <c r="O11" s="337"/>
      <c r="P11" s="671"/>
      <c r="Q11" s="672"/>
      <c r="R11" s="673"/>
    </row>
    <row r="12" spans="1:18" ht="15" x14ac:dyDescent="0.25">
      <c r="A12" s="668" t="s">
        <v>128</v>
      </c>
      <c r="B12" s="669"/>
      <c r="C12" s="670"/>
      <c r="D12" s="338"/>
      <c r="E12" s="330"/>
      <c r="F12" s="331"/>
      <c r="G12" s="332"/>
      <c r="H12" s="333"/>
      <c r="I12" s="330">
        <f>(H22*4)+(H25*4)+(H26*4)+(H27*4)*2</f>
        <v>64</v>
      </c>
      <c r="J12" s="333" t="s">
        <v>131</v>
      </c>
      <c r="K12" s="334"/>
      <c r="L12" s="333"/>
      <c r="M12" s="339">
        <f>I12</f>
        <v>64</v>
      </c>
      <c r="N12" s="336" t="s">
        <v>131</v>
      </c>
      <c r="O12" s="570" t="s">
        <v>747</v>
      </c>
      <c r="P12" s="671" t="s">
        <v>136</v>
      </c>
      <c r="Q12" s="672"/>
      <c r="R12" s="673"/>
    </row>
    <row r="13" spans="1:18" x14ac:dyDescent="0.2">
      <c r="A13" s="668" t="s">
        <v>129</v>
      </c>
      <c r="B13" s="669"/>
      <c r="C13" s="670"/>
      <c r="D13" s="338"/>
      <c r="E13" s="330"/>
      <c r="F13" s="331"/>
      <c r="G13" s="332"/>
      <c r="H13" s="333"/>
      <c r="I13" s="330">
        <f>(H23*4)+(H24*4)*2</f>
        <v>56</v>
      </c>
      <c r="J13" s="333" t="s">
        <v>131</v>
      </c>
      <c r="K13" s="334"/>
      <c r="L13" s="24"/>
      <c r="M13" s="339">
        <f>I13</f>
        <v>56</v>
      </c>
      <c r="N13" s="336" t="s">
        <v>131</v>
      </c>
      <c r="O13" s="337"/>
      <c r="P13" s="671" t="s">
        <v>134</v>
      </c>
      <c r="Q13" s="672"/>
      <c r="R13" s="673"/>
    </row>
    <row r="14" spans="1:18" x14ac:dyDescent="0.2">
      <c r="A14" s="668" t="s">
        <v>130</v>
      </c>
      <c r="B14" s="669"/>
      <c r="C14" s="670"/>
      <c r="D14" s="338"/>
      <c r="E14" s="330"/>
      <c r="F14" s="331"/>
      <c r="G14" s="332"/>
      <c r="H14" s="333"/>
      <c r="I14" s="330">
        <f>(H28*4)*2</f>
        <v>192</v>
      </c>
      <c r="J14" s="333" t="s">
        <v>131</v>
      </c>
      <c r="K14" s="60"/>
      <c r="L14" s="333"/>
      <c r="M14" s="504">
        <f>I14</f>
        <v>192</v>
      </c>
      <c r="N14" s="336" t="s">
        <v>131</v>
      </c>
      <c r="O14" s="283"/>
      <c r="P14" s="671" t="s">
        <v>135</v>
      </c>
      <c r="Q14" s="672"/>
      <c r="R14" s="673"/>
    </row>
    <row r="15" spans="1:18" x14ac:dyDescent="0.2">
      <c r="A15" s="668"/>
      <c r="B15" s="669"/>
      <c r="C15" s="670"/>
      <c r="D15" s="338"/>
      <c r="E15" s="330"/>
      <c r="F15" s="331"/>
      <c r="G15" s="332"/>
      <c r="H15" s="333"/>
      <c r="I15" s="330"/>
      <c r="J15" s="333"/>
      <c r="K15" s="334"/>
      <c r="L15" s="333"/>
      <c r="M15" s="343"/>
      <c r="N15" s="344"/>
      <c r="O15" s="337"/>
      <c r="P15" s="671"/>
      <c r="Q15" s="672"/>
      <c r="R15" s="673"/>
    </row>
    <row r="16" spans="1:18" ht="15" x14ac:dyDescent="0.25">
      <c r="A16" s="691" t="s">
        <v>132</v>
      </c>
      <c r="B16" s="692"/>
      <c r="C16" s="693"/>
      <c r="D16" s="564" t="s">
        <v>175</v>
      </c>
      <c r="E16" s="330"/>
      <c r="F16" s="331"/>
      <c r="G16" s="332"/>
      <c r="H16" s="333"/>
      <c r="I16" s="330"/>
      <c r="J16" s="333"/>
      <c r="K16" s="334"/>
      <c r="L16" s="333"/>
      <c r="M16" s="343"/>
      <c r="N16" s="344"/>
      <c r="O16" s="337"/>
      <c r="P16" s="671"/>
      <c r="Q16" s="672"/>
      <c r="R16" s="673"/>
    </row>
    <row r="17" spans="1:18" x14ac:dyDescent="0.2">
      <c r="A17" s="609" t="s">
        <v>147</v>
      </c>
      <c r="B17" s="610"/>
      <c r="C17" s="611"/>
      <c r="D17" s="338"/>
      <c r="E17" s="330"/>
      <c r="F17" s="331"/>
      <c r="G17" s="332">
        <v>72.7</v>
      </c>
      <c r="H17" s="333">
        <v>36</v>
      </c>
      <c r="I17" s="485">
        <f>G17*H17</f>
        <v>2617.2000000000003</v>
      </c>
      <c r="J17" s="333" t="s">
        <v>79</v>
      </c>
      <c r="K17" s="334"/>
      <c r="L17" s="333"/>
      <c r="M17" s="343"/>
      <c r="N17" s="344"/>
      <c r="O17" s="337"/>
      <c r="P17" s="671"/>
      <c r="Q17" s="672"/>
      <c r="R17" s="673"/>
    </row>
    <row r="18" spans="1:18" x14ac:dyDescent="0.2">
      <c r="A18" s="668" t="s">
        <v>133</v>
      </c>
      <c r="B18" s="669"/>
      <c r="C18" s="670"/>
      <c r="D18" s="22"/>
      <c r="E18" s="330"/>
      <c r="F18" s="331"/>
      <c r="G18" s="332">
        <v>90.88</v>
      </c>
      <c r="H18" s="333">
        <v>56</v>
      </c>
      <c r="I18" s="485">
        <f>G18*H18</f>
        <v>5089.28</v>
      </c>
      <c r="J18" s="333" t="s">
        <v>79</v>
      </c>
      <c r="K18" s="346"/>
      <c r="L18" s="24"/>
      <c r="M18" s="343"/>
      <c r="N18" s="344"/>
      <c r="O18" s="337"/>
      <c r="P18" s="671"/>
      <c r="Q18" s="672"/>
      <c r="R18" s="673"/>
    </row>
    <row r="19" spans="1:18" x14ac:dyDescent="0.2">
      <c r="A19" s="668" t="s">
        <v>148</v>
      </c>
      <c r="B19" s="669"/>
      <c r="C19" s="670"/>
      <c r="D19" s="22"/>
      <c r="E19" s="330"/>
      <c r="F19" s="331"/>
      <c r="G19" s="332">
        <v>42.6</v>
      </c>
      <c r="H19" s="333">
        <v>96</v>
      </c>
      <c r="I19" s="485">
        <f>G19*H19</f>
        <v>4089.6000000000004</v>
      </c>
      <c r="J19" s="333" t="s">
        <v>79</v>
      </c>
      <c r="K19" s="334"/>
      <c r="L19" s="333"/>
      <c r="M19" s="343"/>
      <c r="N19" s="344"/>
      <c r="O19" s="337"/>
      <c r="P19" s="671"/>
      <c r="Q19" s="672"/>
      <c r="R19" s="673"/>
    </row>
    <row r="20" spans="1:18" ht="15" x14ac:dyDescent="0.25">
      <c r="A20" s="716" t="s">
        <v>14</v>
      </c>
      <c r="B20" s="701"/>
      <c r="C20" s="702"/>
      <c r="D20" s="338"/>
      <c r="E20" s="330"/>
      <c r="F20" s="331"/>
      <c r="G20" s="332"/>
      <c r="H20" s="333"/>
      <c r="I20" s="485">
        <f>SUM(I17:I19)</f>
        <v>11796.08</v>
      </c>
      <c r="J20" s="333" t="s">
        <v>79</v>
      </c>
      <c r="K20" s="334"/>
      <c r="L20" s="333"/>
      <c r="M20" s="504">
        <f>I20</f>
        <v>11796.08</v>
      </c>
      <c r="N20" s="336" t="s">
        <v>79</v>
      </c>
      <c r="O20" s="570" t="s">
        <v>747</v>
      </c>
      <c r="P20" s="671"/>
      <c r="Q20" s="672"/>
      <c r="R20" s="673"/>
    </row>
    <row r="21" spans="1:18" ht="15" x14ac:dyDescent="0.25">
      <c r="A21" s="691" t="s">
        <v>122</v>
      </c>
      <c r="B21" s="692"/>
      <c r="C21" s="693"/>
      <c r="D21" s="564" t="s">
        <v>85</v>
      </c>
      <c r="E21" s="330"/>
      <c r="F21" s="331"/>
      <c r="G21" s="332"/>
      <c r="H21" s="333"/>
      <c r="I21" s="330"/>
      <c r="J21" s="333"/>
      <c r="K21" s="334"/>
      <c r="L21" s="333"/>
      <c r="M21" s="343"/>
      <c r="N21" s="344"/>
      <c r="O21" s="337"/>
      <c r="P21" s="671"/>
      <c r="Q21" s="672"/>
      <c r="R21" s="673"/>
    </row>
    <row r="22" spans="1:18" x14ac:dyDescent="0.2">
      <c r="A22" s="668" t="s">
        <v>157</v>
      </c>
      <c r="B22" s="669"/>
      <c r="C22" s="670"/>
      <c r="D22" s="338"/>
      <c r="E22" s="330"/>
      <c r="F22" s="331">
        <v>37.69</v>
      </c>
      <c r="G22" s="332">
        <v>17.75</v>
      </c>
      <c r="H22" s="333">
        <v>6</v>
      </c>
      <c r="I22" s="485">
        <f>F22*G22*H22</f>
        <v>4013.9849999999997</v>
      </c>
      <c r="J22" s="333" t="s">
        <v>79</v>
      </c>
      <c r="K22" s="334"/>
      <c r="L22" s="333"/>
      <c r="M22" s="343"/>
      <c r="N22" s="344"/>
      <c r="O22" s="337"/>
      <c r="P22" s="671"/>
      <c r="Q22" s="672"/>
      <c r="R22" s="673"/>
    </row>
    <row r="23" spans="1:18" x14ac:dyDescent="0.2">
      <c r="A23" s="668" t="s">
        <v>137</v>
      </c>
      <c r="B23" s="669"/>
      <c r="C23" s="670"/>
      <c r="D23" s="338"/>
      <c r="E23" s="330"/>
      <c r="F23" s="331">
        <v>50.81</v>
      </c>
      <c r="G23" s="332">
        <v>26.42</v>
      </c>
      <c r="H23" s="333">
        <v>4</v>
      </c>
      <c r="I23" s="485">
        <f t="shared" ref="I23:I28" si="0">F23*G23*H23</f>
        <v>5369.6008000000002</v>
      </c>
      <c r="J23" s="333" t="s">
        <v>79</v>
      </c>
      <c r="K23" s="334"/>
      <c r="L23" s="333"/>
      <c r="M23" s="343"/>
      <c r="N23" s="344"/>
      <c r="O23" s="337"/>
      <c r="P23" s="671"/>
      <c r="Q23" s="672"/>
      <c r="R23" s="673"/>
    </row>
    <row r="24" spans="1:18" x14ac:dyDescent="0.2">
      <c r="A24" s="668" t="s">
        <v>138</v>
      </c>
      <c r="B24" s="669"/>
      <c r="C24" s="670"/>
      <c r="D24" s="338"/>
      <c r="E24" s="330"/>
      <c r="F24" s="331">
        <v>42.3</v>
      </c>
      <c r="G24" s="332">
        <v>26.42</v>
      </c>
      <c r="H24" s="333">
        <v>5</v>
      </c>
      <c r="I24" s="485">
        <f t="shared" si="0"/>
        <v>5587.83</v>
      </c>
      <c r="J24" s="333" t="s">
        <v>79</v>
      </c>
      <c r="K24" s="334"/>
      <c r="L24" s="333"/>
      <c r="M24" s="343"/>
      <c r="N24" s="344"/>
      <c r="O24" s="337"/>
      <c r="P24" s="671"/>
      <c r="Q24" s="672"/>
      <c r="R24" s="673"/>
    </row>
    <row r="25" spans="1:18" x14ac:dyDescent="0.2">
      <c r="A25" s="668" t="s">
        <v>139</v>
      </c>
      <c r="B25" s="669"/>
      <c r="C25" s="670"/>
      <c r="D25" s="338"/>
      <c r="E25" s="330"/>
      <c r="F25" s="331">
        <v>50.81</v>
      </c>
      <c r="G25" s="332">
        <v>19.170000000000002</v>
      </c>
      <c r="H25" s="333">
        <v>4</v>
      </c>
      <c r="I25" s="485">
        <f t="shared" si="0"/>
        <v>3896.1108000000004</v>
      </c>
      <c r="J25" s="333" t="s">
        <v>79</v>
      </c>
      <c r="K25" s="334"/>
      <c r="L25" s="333"/>
      <c r="M25" s="343"/>
      <c r="N25" s="344"/>
      <c r="O25" s="337"/>
      <c r="P25" s="671"/>
      <c r="Q25" s="672"/>
      <c r="R25" s="673"/>
    </row>
    <row r="26" spans="1:18" x14ac:dyDescent="0.2">
      <c r="A26" s="668" t="s">
        <v>140</v>
      </c>
      <c r="B26" s="669"/>
      <c r="C26" s="670"/>
      <c r="D26" s="338"/>
      <c r="E26" s="330"/>
      <c r="F26" s="331">
        <v>50.81</v>
      </c>
      <c r="G26" s="332">
        <v>20</v>
      </c>
      <c r="H26" s="333">
        <v>2</v>
      </c>
      <c r="I26" s="485">
        <f t="shared" si="0"/>
        <v>2032.4</v>
      </c>
      <c r="J26" s="333" t="s">
        <v>79</v>
      </c>
      <c r="K26" s="334"/>
      <c r="L26" s="333"/>
      <c r="M26" s="343"/>
      <c r="N26" s="344"/>
      <c r="O26" s="337"/>
      <c r="P26" s="671"/>
      <c r="Q26" s="672"/>
      <c r="R26" s="673"/>
    </row>
    <row r="27" spans="1:18" x14ac:dyDescent="0.2">
      <c r="A27" s="668" t="s">
        <v>141</v>
      </c>
      <c r="B27" s="669"/>
      <c r="C27" s="670"/>
      <c r="D27" s="338"/>
      <c r="E27" s="330"/>
      <c r="F27" s="331">
        <v>32.58</v>
      </c>
      <c r="G27" s="332">
        <v>26.17</v>
      </c>
      <c r="H27" s="333">
        <v>2</v>
      </c>
      <c r="I27" s="485">
        <f t="shared" si="0"/>
        <v>1705.2372</v>
      </c>
      <c r="J27" s="333" t="s">
        <v>79</v>
      </c>
      <c r="K27" s="334"/>
      <c r="L27" s="333"/>
      <c r="M27" s="343"/>
      <c r="N27" s="344"/>
      <c r="O27" s="337"/>
      <c r="P27" s="671"/>
      <c r="Q27" s="672"/>
      <c r="R27" s="673"/>
    </row>
    <row r="28" spans="1:18" x14ac:dyDescent="0.2">
      <c r="A28" s="668" t="s">
        <v>142</v>
      </c>
      <c r="B28" s="669"/>
      <c r="C28" s="670"/>
      <c r="D28" s="338"/>
      <c r="E28" s="330"/>
      <c r="F28" s="331">
        <v>24.93</v>
      </c>
      <c r="G28" s="332">
        <v>10</v>
      </c>
      <c r="H28" s="333">
        <v>24</v>
      </c>
      <c r="I28" s="485">
        <f t="shared" si="0"/>
        <v>5983.2000000000007</v>
      </c>
      <c r="J28" s="333" t="s">
        <v>79</v>
      </c>
      <c r="K28" s="334"/>
      <c r="L28" s="333"/>
      <c r="M28" s="343"/>
      <c r="N28" s="344"/>
      <c r="O28" s="337"/>
      <c r="P28" s="671" t="s">
        <v>146</v>
      </c>
      <c r="Q28" s="672"/>
      <c r="R28" s="673"/>
    </row>
    <row r="29" spans="1:18" ht="15" x14ac:dyDescent="0.25">
      <c r="A29" s="765" t="s">
        <v>14</v>
      </c>
      <c r="B29" s="766"/>
      <c r="C29" s="767"/>
      <c r="D29" s="338"/>
      <c r="E29" s="330"/>
      <c r="F29" s="331"/>
      <c r="G29" s="332">
        <f>SUM(G22:G28)</f>
        <v>145.93</v>
      </c>
      <c r="H29" s="333">
        <f>SUM(H22:H28)</f>
        <v>47</v>
      </c>
      <c r="I29" s="485">
        <f>SUM(I22:I28)</f>
        <v>28588.363800000003</v>
      </c>
      <c r="J29" s="333" t="s">
        <v>79</v>
      </c>
      <c r="K29" s="334"/>
      <c r="L29" s="333"/>
      <c r="M29" s="504">
        <f>I29</f>
        <v>28588.363800000003</v>
      </c>
      <c r="N29" s="336" t="s">
        <v>79</v>
      </c>
      <c r="O29" s="570" t="s">
        <v>747</v>
      </c>
      <c r="P29" s="671"/>
      <c r="Q29" s="672"/>
      <c r="R29" s="673"/>
    </row>
    <row r="30" spans="1:18" x14ac:dyDescent="0.2">
      <c r="A30" s="768"/>
      <c r="B30" s="769"/>
      <c r="C30" s="770"/>
      <c r="D30" s="338"/>
      <c r="E30" s="330"/>
      <c r="F30" s="331"/>
      <c r="G30" s="332"/>
      <c r="H30" s="333"/>
      <c r="I30" s="330"/>
      <c r="J30" s="333"/>
      <c r="K30" s="334"/>
      <c r="L30" s="333"/>
      <c r="M30" s="343"/>
      <c r="N30" s="344"/>
      <c r="O30" s="337"/>
      <c r="P30" s="671"/>
      <c r="Q30" s="672"/>
      <c r="R30" s="673"/>
    </row>
    <row r="31" spans="1:18" ht="15" x14ac:dyDescent="0.25">
      <c r="A31" s="762" t="s">
        <v>149</v>
      </c>
      <c r="B31" s="763"/>
      <c r="C31" s="764"/>
      <c r="D31" s="564" t="s">
        <v>175</v>
      </c>
      <c r="E31" s="330"/>
      <c r="F31" s="331"/>
      <c r="G31" s="332"/>
      <c r="H31" s="333"/>
      <c r="I31" s="330"/>
      <c r="J31" s="333"/>
      <c r="K31" s="334"/>
      <c r="L31" s="333"/>
      <c r="M31" s="343"/>
      <c r="N31" s="344"/>
      <c r="O31" s="337"/>
      <c r="P31" s="671"/>
      <c r="Q31" s="672"/>
      <c r="R31" s="673"/>
    </row>
    <row r="32" spans="1:18" x14ac:dyDescent="0.2">
      <c r="A32" s="609" t="s">
        <v>150</v>
      </c>
      <c r="B32" s="610"/>
      <c r="C32" s="611"/>
      <c r="D32" s="338"/>
      <c r="E32" s="330"/>
      <c r="F32" s="331"/>
      <c r="G32" s="332">
        <v>12.78</v>
      </c>
      <c r="H32" s="333">
        <f>H23+H24</f>
        <v>9</v>
      </c>
      <c r="I32" s="330">
        <f>G32*H32</f>
        <v>115.02</v>
      </c>
      <c r="J32" s="333" t="s">
        <v>79</v>
      </c>
      <c r="K32" s="334"/>
      <c r="L32" s="333"/>
      <c r="M32" s="343"/>
      <c r="N32" s="344"/>
      <c r="O32" s="337"/>
      <c r="P32" s="671" t="s">
        <v>134</v>
      </c>
      <c r="Q32" s="672"/>
      <c r="R32" s="673"/>
    </row>
    <row r="33" spans="1:18" x14ac:dyDescent="0.2">
      <c r="A33" s="668" t="s">
        <v>151</v>
      </c>
      <c r="B33" s="669"/>
      <c r="C33" s="670"/>
      <c r="D33" s="22"/>
      <c r="E33" s="330"/>
      <c r="F33" s="331"/>
      <c r="G33" s="332">
        <v>22.72</v>
      </c>
      <c r="H33" s="333">
        <f>H26+H27</f>
        <v>4</v>
      </c>
      <c r="I33" s="330">
        <f>G33*H33</f>
        <v>90.88</v>
      </c>
      <c r="J33" s="333" t="s">
        <v>79</v>
      </c>
      <c r="K33" s="334"/>
      <c r="L33" s="333"/>
      <c r="M33" s="343"/>
      <c r="N33" s="344"/>
      <c r="O33" s="337"/>
      <c r="P33" s="671" t="s">
        <v>154</v>
      </c>
      <c r="Q33" s="672"/>
      <c r="R33" s="673"/>
    </row>
    <row r="34" spans="1:18" x14ac:dyDescent="0.2">
      <c r="A34" s="668" t="s">
        <v>152</v>
      </c>
      <c r="B34" s="669"/>
      <c r="C34" s="670"/>
      <c r="D34" s="338"/>
      <c r="E34" s="330"/>
      <c r="F34" s="331"/>
      <c r="G34" s="332">
        <v>40.9</v>
      </c>
      <c r="H34" s="333">
        <f>H25</f>
        <v>4</v>
      </c>
      <c r="I34" s="330">
        <f>G34*H34</f>
        <v>163.6</v>
      </c>
      <c r="J34" s="333" t="s">
        <v>79</v>
      </c>
      <c r="K34" s="334"/>
      <c r="L34" s="24"/>
      <c r="M34" s="343"/>
      <c r="N34" s="344"/>
      <c r="O34" s="337"/>
      <c r="P34" s="671" t="s">
        <v>155</v>
      </c>
      <c r="Q34" s="672"/>
      <c r="R34" s="673"/>
    </row>
    <row r="35" spans="1:18" x14ac:dyDescent="0.2">
      <c r="A35" s="668" t="s">
        <v>153</v>
      </c>
      <c r="B35" s="669"/>
      <c r="C35" s="670"/>
      <c r="D35" s="338"/>
      <c r="E35" s="330"/>
      <c r="F35" s="331"/>
      <c r="G35" s="332">
        <v>21.3</v>
      </c>
      <c r="H35" s="333">
        <f>H22</f>
        <v>6</v>
      </c>
      <c r="I35" s="330">
        <f>G35*H35</f>
        <v>127.80000000000001</v>
      </c>
      <c r="J35" s="333" t="s">
        <v>79</v>
      </c>
      <c r="K35" s="60"/>
      <c r="L35" s="333"/>
      <c r="M35" s="341"/>
      <c r="N35" s="33"/>
      <c r="O35" s="337"/>
      <c r="P35" s="671" t="s">
        <v>156</v>
      </c>
      <c r="Q35" s="672"/>
      <c r="R35" s="673"/>
    </row>
    <row r="36" spans="1:18" ht="15" x14ac:dyDescent="0.25">
      <c r="A36" s="668"/>
      <c r="B36" s="669"/>
      <c r="C36" s="670"/>
      <c r="D36" s="338"/>
      <c r="E36" s="330"/>
      <c r="F36" s="331"/>
      <c r="G36" s="332"/>
      <c r="H36" s="333"/>
      <c r="I36" s="330">
        <f>SUM(I32:I35)</f>
        <v>497.3</v>
      </c>
      <c r="J36" s="333" t="s">
        <v>79</v>
      </c>
      <c r="K36" s="334"/>
      <c r="L36" s="333"/>
      <c r="M36" s="507">
        <f>I36</f>
        <v>497.3</v>
      </c>
      <c r="N36" s="70" t="s">
        <v>79</v>
      </c>
      <c r="O36" s="570" t="s">
        <v>747</v>
      </c>
      <c r="P36" s="671"/>
      <c r="Q36" s="672"/>
      <c r="R36" s="673"/>
    </row>
    <row r="37" spans="1:18" x14ac:dyDescent="0.2">
      <c r="A37" s="609"/>
      <c r="B37" s="610"/>
      <c r="C37" s="611"/>
      <c r="D37" s="338"/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671"/>
      <c r="Q37" s="672"/>
      <c r="R37" s="673"/>
    </row>
    <row r="38" spans="1:18" ht="15" x14ac:dyDescent="0.25">
      <c r="A38" s="691" t="s">
        <v>158</v>
      </c>
      <c r="B38" s="692"/>
      <c r="C38" s="693"/>
      <c r="D38" s="564" t="s">
        <v>159</v>
      </c>
      <c r="E38" s="330">
        <v>1</v>
      </c>
      <c r="F38" s="331"/>
      <c r="G38" s="332">
        <v>20.399999999999999</v>
      </c>
      <c r="H38" s="333">
        <v>24</v>
      </c>
      <c r="I38" s="330">
        <f>E38*G38*H38</f>
        <v>489.59999999999997</v>
      </c>
      <c r="J38" s="333" t="s">
        <v>79</v>
      </c>
      <c r="K38" s="334"/>
      <c r="L38" s="333"/>
      <c r="M38" s="339">
        <f>I38</f>
        <v>489.59999999999997</v>
      </c>
      <c r="N38" s="336" t="s">
        <v>79</v>
      </c>
      <c r="O38" s="570" t="s">
        <v>747</v>
      </c>
      <c r="P38" s="671"/>
      <c r="Q38" s="672"/>
      <c r="R38" s="673"/>
    </row>
    <row r="39" spans="1:18" x14ac:dyDescent="0.2">
      <c r="A39" s="668"/>
      <c r="B39" s="669"/>
      <c r="C39" s="670"/>
      <c r="D39" s="338"/>
      <c r="E39" s="330"/>
      <c r="F39" s="331"/>
      <c r="G39" s="332"/>
      <c r="H39" s="333"/>
      <c r="I39" s="347"/>
      <c r="J39" s="333"/>
      <c r="K39" s="334"/>
      <c r="L39" s="333"/>
      <c r="M39" s="343"/>
      <c r="N39" s="344"/>
      <c r="O39" s="337"/>
      <c r="P39" s="671"/>
      <c r="Q39" s="672"/>
      <c r="R39" s="673"/>
    </row>
    <row r="40" spans="1:18" x14ac:dyDescent="0.2">
      <c r="A40" s="694" t="s">
        <v>164</v>
      </c>
      <c r="B40" s="695"/>
      <c r="C40" s="696"/>
      <c r="D40" s="338" t="s">
        <v>162</v>
      </c>
      <c r="E40" s="330">
        <v>35</v>
      </c>
      <c r="F40" s="331"/>
      <c r="G40" s="332">
        <v>10</v>
      </c>
      <c r="H40" s="333"/>
      <c r="I40" s="330">
        <f>E40*G40</f>
        <v>350</v>
      </c>
      <c r="J40" s="333" t="s">
        <v>42</v>
      </c>
      <c r="K40" s="334"/>
      <c r="L40" s="333"/>
      <c r="M40" s="343">
        <f>I40</f>
        <v>350</v>
      </c>
      <c r="N40" s="344" t="s">
        <v>42</v>
      </c>
      <c r="O40" s="337"/>
      <c r="P40" s="671" t="s">
        <v>161</v>
      </c>
      <c r="Q40" s="672"/>
      <c r="R40" s="673"/>
    </row>
    <row r="41" spans="1:18" x14ac:dyDescent="0.2">
      <c r="A41" s="609"/>
      <c r="B41" s="610"/>
      <c r="C41" s="611"/>
      <c r="D41" s="338"/>
      <c r="E41" s="330"/>
      <c r="F41" s="331"/>
      <c r="G41" s="332"/>
      <c r="H41" s="333"/>
      <c r="I41" s="330"/>
      <c r="J41" s="333"/>
      <c r="K41" s="334"/>
      <c r="L41" s="333"/>
      <c r="M41" s="343"/>
      <c r="N41" s="344"/>
      <c r="O41" s="337"/>
      <c r="P41" s="671"/>
      <c r="Q41" s="672"/>
      <c r="R41" s="673"/>
    </row>
    <row r="42" spans="1:18" x14ac:dyDescent="0.2">
      <c r="A42" s="668"/>
      <c r="B42" s="669"/>
      <c r="C42" s="670"/>
      <c r="D42" s="338"/>
      <c r="E42" s="330"/>
      <c r="F42" s="331"/>
      <c r="G42" s="332"/>
      <c r="H42" s="333"/>
      <c r="I42" s="347"/>
      <c r="J42" s="333"/>
      <c r="K42" s="334"/>
      <c r="L42" s="333"/>
      <c r="M42" s="343"/>
      <c r="N42" s="344"/>
      <c r="O42" s="337"/>
      <c r="P42" s="671"/>
      <c r="Q42" s="672"/>
      <c r="R42" s="673"/>
    </row>
    <row r="43" spans="1:18" ht="15" x14ac:dyDescent="0.25">
      <c r="A43" s="694" t="s">
        <v>167</v>
      </c>
      <c r="B43" s="695"/>
      <c r="C43" s="696"/>
      <c r="D43" s="566" t="s">
        <v>176</v>
      </c>
      <c r="E43" s="330"/>
      <c r="F43" s="331"/>
      <c r="G43" s="332"/>
      <c r="H43" s="333"/>
      <c r="I43" s="347"/>
      <c r="J43" s="333"/>
      <c r="K43" s="334"/>
      <c r="L43" s="333"/>
      <c r="M43" s="343"/>
      <c r="N43" s="344"/>
      <c r="O43" s="337"/>
      <c r="P43" s="671"/>
      <c r="Q43" s="672"/>
      <c r="R43" s="673"/>
    </row>
    <row r="44" spans="1:18" x14ac:dyDescent="0.2">
      <c r="A44" s="668" t="s">
        <v>168</v>
      </c>
      <c r="B44" s="669"/>
      <c r="C44" s="670"/>
      <c r="D44" s="338"/>
      <c r="E44" s="330">
        <v>84</v>
      </c>
      <c r="F44" s="331">
        <v>30</v>
      </c>
      <c r="G44" s="332"/>
      <c r="H44" s="333"/>
      <c r="I44" s="485">
        <f>E44*F44</f>
        <v>2520</v>
      </c>
      <c r="J44" s="333" t="s">
        <v>79</v>
      </c>
      <c r="K44" s="334"/>
      <c r="L44" s="333"/>
      <c r="M44" s="343"/>
      <c r="N44" s="344"/>
      <c r="O44" s="337"/>
      <c r="P44" s="671"/>
      <c r="Q44" s="672"/>
      <c r="R44" s="673"/>
    </row>
    <row r="45" spans="1:18" x14ac:dyDescent="0.2">
      <c r="A45" s="609" t="s">
        <v>169</v>
      </c>
      <c r="B45" s="610"/>
      <c r="C45" s="611"/>
      <c r="D45" s="338"/>
      <c r="E45" s="330">
        <v>326</v>
      </c>
      <c r="F45" s="331">
        <v>40</v>
      </c>
      <c r="G45" s="332"/>
      <c r="H45" s="333"/>
      <c r="I45" s="485">
        <f>E45*F45</f>
        <v>13040</v>
      </c>
      <c r="J45" s="333" t="s">
        <v>79</v>
      </c>
      <c r="K45" s="334"/>
      <c r="L45" s="333"/>
      <c r="M45" s="343"/>
      <c r="N45" s="344"/>
      <c r="O45" s="337"/>
      <c r="P45" s="671"/>
      <c r="Q45" s="672"/>
      <c r="R45" s="673"/>
    </row>
    <row r="46" spans="1:18" x14ac:dyDescent="0.2">
      <c r="A46" s="668" t="s">
        <v>170</v>
      </c>
      <c r="B46" s="669"/>
      <c r="C46" s="670"/>
      <c r="D46" s="338"/>
      <c r="E46" s="330">
        <v>96</v>
      </c>
      <c r="F46" s="331">
        <v>50</v>
      </c>
      <c r="G46" s="332"/>
      <c r="H46" s="333"/>
      <c r="I46" s="485">
        <f>E46*F46</f>
        <v>4800</v>
      </c>
      <c r="J46" s="333" t="s">
        <v>79</v>
      </c>
      <c r="K46" s="334"/>
      <c r="L46" s="333"/>
      <c r="M46" s="343"/>
      <c r="N46" s="344"/>
      <c r="O46" s="337"/>
      <c r="P46" s="671"/>
      <c r="Q46" s="672"/>
      <c r="R46" s="673"/>
    </row>
    <row r="47" spans="1:18" x14ac:dyDescent="0.2">
      <c r="A47" s="668" t="s">
        <v>171</v>
      </c>
      <c r="B47" s="695"/>
      <c r="C47" s="696"/>
      <c r="D47" s="338"/>
      <c r="E47" s="330">
        <v>93</v>
      </c>
      <c r="F47" s="331">
        <v>13.91</v>
      </c>
      <c r="G47" s="332"/>
      <c r="H47" s="333"/>
      <c r="I47" s="485">
        <f>E47*F47</f>
        <v>1293.6300000000001</v>
      </c>
      <c r="J47" s="333" t="s">
        <v>79</v>
      </c>
      <c r="K47" s="334"/>
      <c r="L47" s="333"/>
      <c r="M47" s="508"/>
      <c r="N47" s="344"/>
      <c r="O47" s="337"/>
      <c r="P47" s="671"/>
      <c r="Q47" s="672"/>
      <c r="R47" s="673"/>
    </row>
    <row r="48" spans="1:18" ht="15" x14ac:dyDescent="0.25">
      <c r="A48" s="716" t="s">
        <v>14</v>
      </c>
      <c r="B48" s="701"/>
      <c r="C48" s="702"/>
      <c r="D48" s="338"/>
      <c r="E48" s="330"/>
      <c r="F48" s="331"/>
      <c r="G48" s="332"/>
      <c r="H48" s="333"/>
      <c r="I48" s="485">
        <f>SUM(I44:I47)</f>
        <v>21653.63</v>
      </c>
      <c r="J48" s="333" t="s">
        <v>79</v>
      </c>
      <c r="K48" s="334"/>
      <c r="L48" s="333"/>
      <c r="M48" s="504">
        <f>I48</f>
        <v>21653.63</v>
      </c>
      <c r="N48" s="336" t="s">
        <v>79</v>
      </c>
      <c r="O48" s="570" t="s">
        <v>747</v>
      </c>
      <c r="P48" s="671"/>
      <c r="Q48" s="672"/>
      <c r="R48" s="673"/>
    </row>
    <row r="49" spans="1:18" x14ac:dyDescent="0.2">
      <c r="A49" s="668"/>
      <c r="B49" s="669"/>
      <c r="C49" s="670"/>
      <c r="D49" s="338"/>
      <c r="E49" s="330"/>
      <c r="F49" s="331"/>
      <c r="G49" s="332"/>
      <c r="H49" s="333"/>
      <c r="I49" s="347"/>
      <c r="J49" s="333"/>
      <c r="K49" s="334"/>
      <c r="L49" s="333"/>
      <c r="M49" s="343"/>
      <c r="N49" s="344"/>
      <c r="O49" s="337"/>
      <c r="P49" s="671"/>
      <c r="Q49" s="672"/>
      <c r="R49" s="673"/>
    </row>
    <row r="50" spans="1:18" ht="15" x14ac:dyDescent="0.25">
      <c r="A50" s="668" t="s">
        <v>313</v>
      </c>
      <c r="B50" s="669"/>
      <c r="C50" s="670"/>
      <c r="D50" s="564" t="s">
        <v>732</v>
      </c>
      <c r="E50" s="330"/>
      <c r="F50" s="331"/>
      <c r="G50" s="281"/>
      <c r="H50" s="333"/>
      <c r="I50" s="347"/>
      <c r="J50" s="333"/>
      <c r="K50" s="334"/>
      <c r="L50" s="333"/>
      <c r="M50" s="339">
        <v>41</v>
      </c>
      <c r="N50" s="336" t="s">
        <v>45</v>
      </c>
      <c r="O50" s="570" t="s">
        <v>747</v>
      </c>
      <c r="P50" s="671"/>
      <c r="Q50" s="672"/>
      <c r="R50" s="673"/>
    </row>
    <row r="51" spans="1:18" ht="15" x14ac:dyDescent="0.25">
      <c r="A51" s="609" t="s">
        <v>314</v>
      </c>
      <c r="B51" s="610"/>
      <c r="C51" s="611"/>
      <c r="D51" s="338"/>
      <c r="E51" s="330"/>
      <c r="F51" s="331"/>
      <c r="G51" s="332"/>
      <c r="H51" s="333"/>
      <c r="I51" s="330"/>
      <c r="J51" s="333"/>
      <c r="K51" s="334"/>
      <c r="L51" s="333"/>
      <c r="M51" s="339">
        <f>M50</f>
        <v>41</v>
      </c>
      <c r="N51" s="336" t="s">
        <v>45</v>
      </c>
      <c r="O51" s="570" t="s">
        <v>747</v>
      </c>
      <c r="P51" s="671" t="s">
        <v>315</v>
      </c>
      <c r="Q51" s="672"/>
      <c r="R51" s="673"/>
    </row>
    <row r="52" spans="1:18" x14ac:dyDescent="0.2">
      <c r="A52" s="668"/>
      <c r="B52" s="669"/>
      <c r="C52" s="670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671"/>
      <c r="Q52" s="672"/>
      <c r="R52" s="673"/>
    </row>
    <row r="53" spans="1:18" x14ac:dyDescent="0.2">
      <c r="A53" s="668"/>
      <c r="B53" s="669"/>
      <c r="C53" s="670"/>
      <c r="D53" s="338"/>
      <c r="E53" s="330"/>
      <c r="F53" s="331"/>
      <c r="G53" s="332"/>
      <c r="H53" s="333"/>
      <c r="I53" s="330"/>
      <c r="J53" s="333"/>
      <c r="K53" s="349"/>
      <c r="L53" s="24"/>
      <c r="M53" s="343"/>
      <c r="N53" s="344"/>
      <c r="O53" s="337"/>
      <c r="P53" s="671"/>
      <c r="Q53" s="672"/>
      <c r="R53" s="673"/>
    </row>
    <row r="54" spans="1:18" x14ac:dyDescent="0.2">
      <c r="A54" s="668"/>
      <c r="B54" s="669"/>
      <c r="C54" s="670"/>
      <c r="D54" s="338"/>
      <c r="E54" s="330"/>
      <c r="F54" s="331"/>
      <c r="G54" s="332"/>
      <c r="H54" s="333"/>
      <c r="I54" s="330"/>
      <c r="J54" s="333"/>
      <c r="K54" s="60"/>
      <c r="L54" s="333"/>
      <c r="M54" s="341"/>
      <c r="N54" s="33"/>
      <c r="O54" s="337"/>
      <c r="P54" s="671"/>
      <c r="Q54" s="672"/>
      <c r="R54" s="673"/>
    </row>
    <row r="55" spans="1:18" x14ac:dyDescent="0.2">
      <c r="A55" s="694" t="s">
        <v>106</v>
      </c>
      <c r="B55" s="695"/>
      <c r="C55" s="696"/>
      <c r="D55" s="338"/>
      <c r="E55" s="330"/>
      <c r="F55" s="331"/>
      <c r="G55" s="332"/>
      <c r="H55" s="333"/>
      <c r="I55" s="330"/>
      <c r="J55" s="333"/>
      <c r="K55" s="334"/>
      <c r="L55" s="333"/>
      <c r="M55" s="343"/>
      <c r="N55" s="344"/>
      <c r="O55" s="337"/>
      <c r="P55" s="671"/>
      <c r="Q55" s="672"/>
      <c r="R55" s="673"/>
    </row>
    <row r="56" spans="1:18" x14ac:dyDescent="0.2">
      <c r="A56" s="609" t="s">
        <v>160</v>
      </c>
      <c r="B56" s="610"/>
      <c r="C56" s="611"/>
      <c r="D56" s="338"/>
      <c r="E56" s="330"/>
      <c r="F56" s="331"/>
      <c r="G56" s="332"/>
      <c r="H56" s="333"/>
      <c r="I56" s="330"/>
      <c r="J56" s="333"/>
      <c r="K56" s="334"/>
      <c r="L56" s="333"/>
      <c r="M56" s="343"/>
      <c r="N56" s="344"/>
      <c r="O56" s="337"/>
      <c r="P56" s="671"/>
      <c r="Q56" s="672"/>
      <c r="R56" s="673"/>
    </row>
    <row r="57" spans="1:18" x14ac:dyDescent="0.2">
      <c r="A57" s="668"/>
      <c r="B57" s="669"/>
      <c r="C57" s="670"/>
      <c r="D57" s="22"/>
      <c r="E57" s="330"/>
      <c r="F57" s="331"/>
      <c r="G57" s="332"/>
      <c r="H57" s="333"/>
      <c r="I57" s="330"/>
      <c r="J57" s="24"/>
      <c r="K57" s="334"/>
      <c r="L57" s="333"/>
      <c r="M57" s="343"/>
      <c r="N57" s="344"/>
      <c r="O57" s="337"/>
      <c r="P57" s="671"/>
      <c r="Q57" s="672"/>
      <c r="R57" s="673"/>
    </row>
    <row r="58" spans="1:18" ht="15" x14ac:dyDescent="0.25">
      <c r="A58" s="668" t="s">
        <v>165</v>
      </c>
      <c r="B58" s="669"/>
      <c r="C58" s="670"/>
      <c r="D58" s="564" t="s">
        <v>732</v>
      </c>
      <c r="E58" s="330"/>
      <c r="F58" s="331"/>
      <c r="G58" s="332"/>
      <c r="H58" s="333"/>
      <c r="I58" s="347">
        <v>35</v>
      </c>
      <c r="J58" s="333" t="s">
        <v>45</v>
      </c>
      <c r="K58" s="334">
        <f>I58/2</f>
        <v>17.5</v>
      </c>
      <c r="L58" s="333"/>
      <c r="M58" s="343"/>
      <c r="N58" s="344"/>
      <c r="O58" s="337"/>
      <c r="P58" s="671" t="s">
        <v>166</v>
      </c>
      <c r="Q58" s="672"/>
      <c r="R58" s="673"/>
    </row>
    <row r="59" spans="1:18" x14ac:dyDescent="0.2">
      <c r="A59" s="668"/>
      <c r="B59" s="669"/>
      <c r="C59" s="670"/>
      <c r="D59" s="338"/>
      <c r="E59" s="330"/>
      <c r="F59" s="331"/>
      <c r="G59" s="332"/>
      <c r="H59" s="333"/>
      <c r="I59" s="330" t="s">
        <v>163</v>
      </c>
      <c r="J59" s="333"/>
      <c r="K59" s="349"/>
      <c r="L59" s="24"/>
      <c r="M59" s="343"/>
      <c r="N59" s="344"/>
      <c r="O59" s="337"/>
      <c r="P59" s="671"/>
      <c r="Q59" s="672"/>
      <c r="R59" s="673"/>
    </row>
    <row r="60" spans="1:18" ht="15" x14ac:dyDescent="0.25">
      <c r="A60" s="689" t="s">
        <v>172</v>
      </c>
      <c r="B60" s="689"/>
      <c r="C60" s="690"/>
      <c r="D60" s="569" t="s">
        <v>173</v>
      </c>
      <c r="E60" s="334">
        <v>6</v>
      </c>
      <c r="F60" s="331"/>
      <c r="G60" s="331">
        <v>0.66700000000000004</v>
      </c>
      <c r="H60" s="340">
        <v>10</v>
      </c>
      <c r="I60" s="506">
        <f>E60*G60*H60</f>
        <v>40.02000000000001</v>
      </c>
      <c r="J60" s="340" t="s">
        <v>79</v>
      </c>
      <c r="K60" s="60"/>
      <c r="L60" s="340"/>
      <c r="M60" s="509">
        <f>I60</f>
        <v>40.02000000000001</v>
      </c>
      <c r="N60" s="69" t="s">
        <v>79</v>
      </c>
      <c r="O60" s="570" t="s">
        <v>747</v>
      </c>
      <c r="P60" s="671"/>
      <c r="Q60" s="672"/>
      <c r="R60" s="673"/>
    </row>
    <row r="61" spans="1:18" x14ac:dyDescent="0.2">
      <c r="A61" s="680"/>
      <c r="B61" s="681"/>
      <c r="C61" s="682"/>
      <c r="D61" s="63"/>
      <c r="E61" s="323"/>
      <c r="F61" s="324"/>
      <c r="G61" s="325"/>
      <c r="H61" s="326"/>
      <c r="I61" s="323"/>
      <c r="J61" s="326"/>
      <c r="K61" s="353"/>
      <c r="L61" s="326"/>
      <c r="M61" s="323"/>
      <c r="N61" s="326"/>
      <c r="O61" s="329"/>
      <c r="P61" s="671"/>
      <c r="Q61" s="672"/>
      <c r="R61" s="673"/>
    </row>
    <row r="62" spans="1:18" ht="15" x14ac:dyDescent="0.25">
      <c r="A62" s="668" t="s">
        <v>174</v>
      </c>
      <c r="B62" s="669"/>
      <c r="C62" s="670"/>
      <c r="D62" s="564" t="s">
        <v>175</v>
      </c>
      <c r="E62" s="330"/>
      <c r="F62" s="331"/>
      <c r="G62" s="332"/>
      <c r="H62" s="333"/>
      <c r="I62" s="330">
        <v>120</v>
      </c>
      <c r="J62" s="333" t="s">
        <v>131</v>
      </c>
      <c r="K62" s="334"/>
      <c r="L62" s="333"/>
      <c r="M62" s="339">
        <v>120</v>
      </c>
      <c r="N62" s="336" t="s">
        <v>131</v>
      </c>
      <c r="O62" s="570" t="s">
        <v>747</v>
      </c>
      <c r="P62" s="671"/>
      <c r="Q62" s="672"/>
      <c r="R62" s="673"/>
    </row>
    <row r="63" spans="1:18" x14ac:dyDescent="0.2">
      <c r="A63" s="668"/>
      <c r="B63" s="669"/>
      <c r="C63" s="670"/>
      <c r="D63" s="338"/>
      <c r="E63" s="330"/>
      <c r="F63" s="331"/>
      <c r="G63" s="332"/>
      <c r="H63" s="333"/>
      <c r="I63" s="330"/>
      <c r="J63" s="333"/>
      <c r="K63" s="334"/>
      <c r="L63" s="333"/>
      <c r="M63" s="330"/>
      <c r="N63" s="333"/>
      <c r="O63" s="337"/>
      <c r="P63" s="671"/>
      <c r="Q63" s="672"/>
      <c r="R63" s="673"/>
    </row>
    <row r="64" spans="1:18" ht="15" x14ac:dyDescent="0.25">
      <c r="A64" s="694" t="s">
        <v>287</v>
      </c>
      <c r="B64" s="695"/>
      <c r="C64" s="696"/>
      <c r="D64" s="338"/>
      <c r="E64" s="330"/>
      <c r="F64" s="331"/>
      <c r="G64" s="332"/>
      <c r="H64" s="333"/>
      <c r="I64" s="330">
        <f>196</f>
        <v>196</v>
      </c>
      <c r="J64" s="333" t="s">
        <v>42</v>
      </c>
      <c r="K64" s="334"/>
      <c r="L64" s="24"/>
      <c r="M64" s="339">
        <f>I64</f>
        <v>196</v>
      </c>
      <c r="N64" s="336" t="s">
        <v>42</v>
      </c>
      <c r="O64" s="570" t="s">
        <v>747</v>
      </c>
      <c r="P64" s="671"/>
      <c r="Q64" s="672"/>
      <c r="R64" s="673"/>
    </row>
    <row r="65" spans="1:18" x14ac:dyDescent="0.2">
      <c r="A65" s="668"/>
      <c r="B65" s="669"/>
      <c r="C65" s="670"/>
      <c r="D65" s="338"/>
      <c r="E65" s="330"/>
      <c r="F65" s="331"/>
      <c r="G65" s="332"/>
      <c r="H65" s="333"/>
      <c r="I65" s="330"/>
      <c r="J65" s="333"/>
      <c r="K65" s="60"/>
      <c r="L65" s="333"/>
      <c r="M65" s="341"/>
      <c r="N65" s="33"/>
      <c r="O65" s="283"/>
      <c r="P65" s="671"/>
      <c r="Q65" s="672"/>
      <c r="R65" s="673"/>
    </row>
    <row r="66" spans="1:18" ht="15" x14ac:dyDescent="0.25">
      <c r="A66" s="694" t="s">
        <v>320</v>
      </c>
      <c r="B66" s="695"/>
      <c r="C66" s="696"/>
      <c r="D66" s="338"/>
      <c r="E66" s="330"/>
      <c r="F66" s="331"/>
      <c r="G66" s="332"/>
      <c r="H66" s="333"/>
      <c r="I66" s="330">
        <v>168</v>
      </c>
      <c r="J66" s="333" t="s">
        <v>45</v>
      </c>
      <c r="K66" s="334"/>
      <c r="L66" s="333"/>
      <c r="M66" s="339">
        <f>I66</f>
        <v>168</v>
      </c>
      <c r="N66" s="336" t="s">
        <v>45</v>
      </c>
      <c r="O66" s="570" t="s">
        <v>747</v>
      </c>
      <c r="P66" s="671"/>
      <c r="Q66" s="672"/>
      <c r="R66" s="673"/>
    </row>
    <row r="67" spans="1:18" x14ac:dyDescent="0.2">
      <c r="A67" s="691" t="s">
        <v>521</v>
      </c>
      <c r="B67" s="692"/>
      <c r="C67" s="693"/>
      <c r="D67" s="338"/>
      <c r="E67" s="330"/>
      <c r="F67" s="331"/>
      <c r="G67" s="332"/>
      <c r="H67" s="333"/>
      <c r="I67" s="330"/>
      <c r="J67" s="333"/>
      <c r="K67" s="334"/>
      <c r="L67" s="333"/>
      <c r="M67" s="339">
        <v>10</v>
      </c>
      <c r="N67" s="336" t="s">
        <v>45</v>
      </c>
      <c r="O67" s="337"/>
      <c r="P67" s="671"/>
      <c r="Q67" s="672"/>
      <c r="R67" s="673"/>
    </row>
    <row r="68" spans="1:18" x14ac:dyDescent="0.2">
      <c r="A68" s="609"/>
      <c r="B68" s="610"/>
      <c r="C68" s="611"/>
      <c r="D68" s="338"/>
      <c r="E68" s="330"/>
      <c r="F68" s="331"/>
      <c r="G68" s="332"/>
      <c r="H68" s="333"/>
      <c r="I68" s="330"/>
      <c r="J68" s="333"/>
      <c r="K68" s="334"/>
      <c r="L68" s="333"/>
      <c r="M68" s="343"/>
      <c r="N68" s="344"/>
      <c r="O68" s="337"/>
      <c r="P68" s="671"/>
      <c r="Q68" s="672"/>
      <c r="R68" s="673"/>
    </row>
    <row r="69" spans="1:18" x14ac:dyDescent="0.2">
      <c r="A69" s="694" t="s">
        <v>523</v>
      </c>
      <c r="B69" s="695"/>
      <c r="C69" s="696"/>
      <c r="D69" s="22"/>
      <c r="E69" s="330"/>
      <c r="F69" s="331"/>
      <c r="G69" s="332"/>
      <c r="H69" s="333"/>
      <c r="I69" s="330"/>
      <c r="J69" s="24"/>
      <c r="K69" s="346"/>
      <c r="L69" s="24"/>
      <c r="M69" s="339">
        <v>10</v>
      </c>
      <c r="N69" s="336" t="s">
        <v>524</v>
      </c>
      <c r="O69" s="337"/>
      <c r="P69" s="671"/>
      <c r="Q69" s="672"/>
      <c r="R69" s="673"/>
    </row>
    <row r="70" spans="1:18" x14ac:dyDescent="0.2">
      <c r="A70" s="694"/>
      <c r="B70" s="695"/>
      <c r="C70" s="696"/>
      <c r="D70" s="22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671"/>
      <c r="Q70" s="672"/>
      <c r="R70" s="673"/>
    </row>
    <row r="71" spans="1:18" ht="15" x14ac:dyDescent="0.25">
      <c r="A71" s="694" t="s">
        <v>799</v>
      </c>
      <c r="B71" s="695"/>
      <c r="C71" s="696"/>
      <c r="D71" s="338"/>
      <c r="E71" s="330"/>
      <c r="F71" s="331"/>
      <c r="G71" s="332"/>
      <c r="H71" s="333"/>
      <c r="I71" s="347"/>
      <c r="J71" s="333"/>
      <c r="K71" s="334"/>
      <c r="L71" s="333"/>
      <c r="M71" s="571">
        <f>M75*0.1</f>
        <v>3.1512486900000005</v>
      </c>
      <c r="N71" s="336" t="s">
        <v>748</v>
      </c>
      <c r="O71" s="570" t="s">
        <v>747</v>
      </c>
      <c r="P71" s="671"/>
      <c r="Q71" s="672"/>
      <c r="R71" s="673"/>
    </row>
    <row r="72" spans="1:18" x14ac:dyDescent="0.2">
      <c r="A72" s="691"/>
      <c r="B72" s="692"/>
      <c r="C72" s="693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671"/>
      <c r="Q72" s="672"/>
      <c r="R72" s="673"/>
    </row>
    <row r="73" spans="1:18" ht="15" x14ac:dyDescent="0.25">
      <c r="A73" s="694" t="s">
        <v>800</v>
      </c>
      <c r="B73" s="695"/>
      <c r="C73" s="696"/>
      <c r="D73" s="338"/>
      <c r="E73" s="330"/>
      <c r="F73" s="331"/>
      <c r="G73" s="332"/>
      <c r="H73" s="333"/>
      <c r="I73" s="330"/>
      <c r="J73" s="333"/>
      <c r="K73" s="334"/>
      <c r="L73" s="333"/>
      <c r="M73" s="339">
        <f>120+186</f>
        <v>306</v>
      </c>
      <c r="N73" s="336" t="s">
        <v>195</v>
      </c>
      <c r="O73" s="570" t="s">
        <v>747</v>
      </c>
      <c r="P73" s="671" t="s">
        <v>547</v>
      </c>
      <c r="Q73" s="672"/>
      <c r="R73" s="673"/>
    </row>
    <row r="74" spans="1:18" x14ac:dyDescent="0.2">
      <c r="A74" s="694"/>
      <c r="B74" s="695"/>
      <c r="C74" s="696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671"/>
      <c r="Q74" s="672"/>
      <c r="R74" s="673"/>
    </row>
    <row r="75" spans="1:18" ht="15" x14ac:dyDescent="0.25">
      <c r="A75" s="694" t="s">
        <v>527</v>
      </c>
      <c r="B75" s="695"/>
      <c r="C75" s="696"/>
      <c r="D75" s="338"/>
      <c r="E75" s="330"/>
      <c r="F75" s="331"/>
      <c r="G75" s="332"/>
      <c r="H75" s="333"/>
      <c r="I75" s="330"/>
      <c r="J75" s="333"/>
      <c r="K75" s="334"/>
      <c r="L75" s="333"/>
      <c r="M75" s="504">
        <f>(M48+M38+M36+M29+M20)/2000</f>
        <v>31.512486900000003</v>
      </c>
      <c r="N75" s="336" t="s">
        <v>748</v>
      </c>
      <c r="O75" s="570" t="s">
        <v>747</v>
      </c>
      <c r="P75" s="671"/>
      <c r="Q75" s="672"/>
      <c r="R75" s="673"/>
    </row>
    <row r="76" spans="1:18" x14ac:dyDescent="0.2">
      <c r="A76" s="668"/>
      <c r="B76" s="669"/>
      <c r="C76" s="670"/>
      <c r="D76" s="338"/>
      <c r="E76" s="330"/>
      <c r="F76" s="331"/>
      <c r="G76" s="332"/>
      <c r="H76" s="333"/>
      <c r="I76" s="347"/>
      <c r="J76" s="333"/>
      <c r="K76" s="334"/>
      <c r="L76" s="333"/>
      <c r="M76" s="343"/>
      <c r="N76" s="344"/>
      <c r="O76" s="337"/>
      <c r="P76" s="671"/>
      <c r="Q76" s="672"/>
      <c r="R76" s="673"/>
    </row>
    <row r="77" spans="1:18" x14ac:dyDescent="0.2">
      <c r="A77" s="686"/>
      <c r="B77" s="687"/>
      <c r="C77" s="688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671"/>
      <c r="Q77" s="672"/>
      <c r="R77" s="673"/>
    </row>
    <row r="78" spans="1:18" x14ac:dyDescent="0.2">
      <c r="A78" s="683"/>
      <c r="B78" s="684"/>
      <c r="C78" s="685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671"/>
      <c r="Q78" s="672"/>
      <c r="R78" s="673"/>
    </row>
    <row r="79" spans="1:18" x14ac:dyDescent="0.2">
      <c r="A79" s="683"/>
      <c r="B79" s="684"/>
      <c r="C79" s="685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671"/>
      <c r="Q79" s="672"/>
      <c r="R79" s="673"/>
    </row>
    <row r="80" spans="1:18" x14ac:dyDescent="0.2">
      <c r="A80" s="683"/>
      <c r="B80" s="684"/>
      <c r="C80" s="685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671"/>
      <c r="Q80" s="672"/>
      <c r="R80" s="673"/>
    </row>
    <row r="81" spans="1:18" x14ac:dyDescent="0.2">
      <c r="A81" s="683"/>
      <c r="B81" s="684"/>
      <c r="C81" s="685"/>
      <c r="D81" s="338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671"/>
      <c r="Q81" s="672"/>
      <c r="R81" s="673"/>
    </row>
    <row r="82" spans="1:18" x14ac:dyDescent="0.2">
      <c r="A82" s="680"/>
      <c r="B82" s="681"/>
      <c r="C82" s="682"/>
      <c r="D82" s="338"/>
      <c r="E82" s="330"/>
      <c r="F82" s="331"/>
      <c r="G82" s="332"/>
      <c r="H82" s="333"/>
      <c r="I82" s="330"/>
      <c r="J82" s="333"/>
      <c r="K82" s="334"/>
      <c r="L82" s="333"/>
      <c r="M82" s="343"/>
      <c r="N82" s="344"/>
      <c r="O82" s="337"/>
      <c r="P82" s="671"/>
      <c r="Q82" s="672"/>
      <c r="R82" s="673"/>
    </row>
    <row r="83" spans="1:18" x14ac:dyDescent="0.2">
      <c r="A83" s="609"/>
      <c r="B83" s="610"/>
      <c r="C83" s="611"/>
      <c r="D83" s="338"/>
      <c r="E83" s="330"/>
      <c r="F83" s="331"/>
      <c r="G83" s="332"/>
      <c r="H83" s="333"/>
      <c r="I83" s="330"/>
      <c r="J83" s="333"/>
      <c r="K83" s="334"/>
      <c r="L83" s="333"/>
      <c r="M83" s="343"/>
      <c r="N83" s="344"/>
      <c r="O83" s="337"/>
      <c r="P83" s="671"/>
      <c r="Q83" s="672"/>
      <c r="R83" s="673"/>
    </row>
    <row r="84" spans="1:18" x14ac:dyDescent="0.2">
      <c r="A84" s="668"/>
      <c r="B84" s="669"/>
      <c r="C84" s="670"/>
      <c r="D84" s="22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671"/>
      <c r="Q84" s="672"/>
      <c r="R84" s="673"/>
    </row>
    <row r="85" spans="1:18" x14ac:dyDescent="0.2">
      <c r="A85" s="668"/>
      <c r="B85" s="669"/>
      <c r="C85" s="670"/>
      <c r="D85" s="338"/>
      <c r="E85" s="330"/>
      <c r="F85" s="331"/>
      <c r="G85" s="332"/>
      <c r="H85" s="333"/>
      <c r="I85" s="330"/>
      <c r="J85" s="333"/>
      <c r="K85" s="334"/>
      <c r="L85" s="24"/>
      <c r="M85" s="343"/>
      <c r="N85" s="344"/>
      <c r="O85" s="337"/>
      <c r="P85" s="671"/>
      <c r="Q85" s="672"/>
      <c r="R85" s="673"/>
    </row>
    <row r="86" spans="1:18" x14ac:dyDescent="0.2">
      <c r="A86" s="668"/>
      <c r="B86" s="669"/>
      <c r="C86" s="670"/>
      <c r="D86" s="338"/>
      <c r="E86" s="330"/>
      <c r="F86" s="331"/>
      <c r="G86" s="332"/>
      <c r="H86" s="333"/>
      <c r="I86" s="330"/>
      <c r="J86" s="333"/>
      <c r="K86" s="60"/>
      <c r="L86" s="333"/>
      <c r="M86" s="341"/>
      <c r="N86" s="33"/>
      <c r="O86" s="337"/>
      <c r="P86" s="671"/>
      <c r="Q86" s="672"/>
      <c r="R86" s="673"/>
    </row>
    <row r="87" spans="1:18" x14ac:dyDescent="0.2">
      <c r="A87" s="668"/>
      <c r="B87" s="669"/>
      <c r="C87" s="670"/>
      <c r="D87" s="338"/>
      <c r="E87" s="330"/>
      <c r="F87" s="331"/>
      <c r="G87" s="332"/>
      <c r="H87" s="333"/>
      <c r="I87" s="330"/>
      <c r="J87" s="333"/>
      <c r="K87" s="334"/>
      <c r="L87" s="333"/>
      <c r="M87" s="343"/>
      <c r="N87" s="344"/>
      <c r="O87" s="337"/>
      <c r="P87" s="671"/>
      <c r="Q87" s="672"/>
      <c r="R87" s="673"/>
    </row>
    <row r="88" spans="1:18" x14ac:dyDescent="0.2">
      <c r="A88" s="609"/>
      <c r="B88" s="610"/>
      <c r="C88" s="611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671"/>
      <c r="Q88" s="672"/>
      <c r="R88" s="673"/>
    </row>
    <row r="89" spans="1:18" x14ac:dyDescent="0.2">
      <c r="A89" s="609"/>
      <c r="B89" s="610"/>
      <c r="C89" s="61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671"/>
      <c r="Q89" s="672"/>
      <c r="R89" s="673"/>
    </row>
    <row r="90" spans="1:18" x14ac:dyDescent="0.2">
      <c r="A90" s="668"/>
      <c r="B90" s="669"/>
      <c r="C90" s="670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671"/>
      <c r="Q90" s="672"/>
      <c r="R90" s="673"/>
    </row>
    <row r="91" spans="1:18" x14ac:dyDescent="0.2">
      <c r="A91" s="668"/>
      <c r="B91" s="669"/>
      <c r="C91" s="670"/>
      <c r="D91" s="338"/>
      <c r="E91" s="330"/>
      <c r="F91" s="331"/>
      <c r="G91" s="332"/>
      <c r="H91" s="333"/>
      <c r="I91" s="330"/>
      <c r="J91" s="333"/>
      <c r="K91" s="334"/>
      <c r="L91" s="333"/>
      <c r="M91" s="343"/>
      <c r="N91" s="344"/>
      <c r="O91" s="337"/>
      <c r="P91" s="671"/>
      <c r="Q91" s="672"/>
      <c r="R91" s="673"/>
    </row>
    <row r="92" spans="1:18" x14ac:dyDescent="0.2">
      <c r="A92" s="609"/>
      <c r="B92" s="610"/>
      <c r="C92" s="611"/>
      <c r="D92" s="338"/>
      <c r="E92" s="330"/>
      <c r="F92" s="331"/>
      <c r="G92" s="332"/>
      <c r="H92" s="333"/>
      <c r="I92" s="330"/>
      <c r="J92" s="333"/>
      <c r="K92" s="334"/>
      <c r="L92" s="333"/>
      <c r="M92" s="343"/>
      <c r="N92" s="344"/>
      <c r="O92" s="337"/>
      <c r="P92" s="671"/>
      <c r="Q92" s="672"/>
      <c r="R92" s="673"/>
    </row>
    <row r="93" spans="1:18" x14ac:dyDescent="0.2">
      <c r="A93" s="668"/>
      <c r="B93" s="669"/>
      <c r="C93" s="670"/>
      <c r="D93" s="338"/>
      <c r="E93" s="330"/>
      <c r="F93" s="331"/>
      <c r="G93" s="332"/>
      <c r="H93" s="333"/>
      <c r="I93" s="347"/>
      <c r="J93" s="333"/>
      <c r="K93" s="334"/>
      <c r="L93" s="333"/>
      <c r="M93" s="343"/>
      <c r="N93" s="344"/>
      <c r="O93" s="337"/>
      <c r="P93" s="671"/>
      <c r="Q93" s="672"/>
      <c r="R93" s="673"/>
    </row>
    <row r="94" spans="1:18" x14ac:dyDescent="0.2">
      <c r="A94" s="668"/>
      <c r="B94" s="669"/>
      <c r="C94" s="670"/>
      <c r="D94" s="338"/>
      <c r="E94" s="330"/>
      <c r="F94" s="331"/>
      <c r="G94" s="332"/>
      <c r="H94" s="333"/>
      <c r="I94" s="347"/>
      <c r="J94" s="333"/>
      <c r="K94" s="334"/>
      <c r="L94" s="333"/>
      <c r="M94" s="343"/>
      <c r="N94" s="344"/>
      <c r="O94" s="337"/>
      <c r="P94" s="671"/>
      <c r="Q94" s="672"/>
      <c r="R94" s="673"/>
    </row>
    <row r="95" spans="1:18" x14ac:dyDescent="0.2">
      <c r="A95" s="668"/>
      <c r="B95" s="669"/>
      <c r="C95" s="670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671"/>
      <c r="Q95" s="672"/>
      <c r="R95" s="673"/>
    </row>
    <row r="96" spans="1:18" x14ac:dyDescent="0.2">
      <c r="A96" s="609"/>
      <c r="B96" s="610"/>
      <c r="C96" s="611"/>
      <c r="D96" s="338"/>
      <c r="E96" s="330"/>
      <c r="F96" s="331"/>
      <c r="G96" s="332"/>
      <c r="H96" s="333"/>
      <c r="I96" s="330"/>
      <c r="J96" s="333"/>
      <c r="K96" s="334"/>
      <c r="L96" s="333"/>
      <c r="M96" s="343"/>
      <c r="N96" s="344"/>
      <c r="O96" s="337"/>
      <c r="P96" s="671"/>
      <c r="Q96" s="672"/>
      <c r="R96" s="673"/>
    </row>
    <row r="97" spans="1:18" x14ac:dyDescent="0.2">
      <c r="A97" s="668"/>
      <c r="B97" s="669"/>
      <c r="C97" s="670"/>
      <c r="D97" s="338"/>
      <c r="E97" s="330"/>
      <c r="F97" s="331"/>
      <c r="G97" s="332"/>
      <c r="H97" s="333"/>
      <c r="I97" s="347"/>
      <c r="J97" s="24"/>
      <c r="K97" s="334"/>
      <c r="L97" s="333"/>
      <c r="M97" s="343"/>
      <c r="N97" s="344"/>
      <c r="O97" s="337"/>
      <c r="P97" s="671"/>
      <c r="Q97" s="672"/>
      <c r="R97" s="673"/>
    </row>
    <row r="98" spans="1:18" x14ac:dyDescent="0.2">
      <c r="A98" s="668"/>
      <c r="B98" s="669"/>
      <c r="C98" s="670"/>
      <c r="D98" s="338"/>
      <c r="E98" s="330"/>
      <c r="F98" s="331"/>
      <c r="G98" s="332"/>
      <c r="H98" s="333"/>
      <c r="I98" s="347"/>
      <c r="J98" s="333"/>
      <c r="K98" s="334"/>
      <c r="L98" s="333"/>
      <c r="M98" s="343"/>
      <c r="N98" s="344"/>
      <c r="O98" s="337"/>
      <c r="P98" s="671"/>
      <c r="Q98" s="672"/>
      <c r="R98" s="673"/>
    </row>
    <row r="99" spans="1:18" x14ac:dyDescent="0.2">
      <c r="A99" s="668"/>
      <c r="B99" s="669"/>
      <c r="C99" s="670"/>
      <c r="D99" s="338"/>
      <c r="E99" s="330"/>
      <c r="F99" s="331"/>
      <c r="G99" s="332"/>
      <c r="H99" s="333"/>
      <c r="I99" s="347"/>
      <c r="J99" s="333"/>
      <c r="K99" s="334"/>
      <c r="L99" s="333"/>
      <c r="M99" s="343"/>
      <c r="N99" s="344"/>
      <c r="O99" s="337"/>
      <c r="P99" s="671"/>
      <c r="Q99" s="672"/>
      <c r="R99" s="673"/>
    </row>
    <row r="100" spans="1:18" x14ac:dyDescent="0.2">
      <c r="A100" s="668"/>
      <c r="B100" s="669"/>
      <c r="C100" s="670"/>
      <c r="D100" s="338"/>
      <c r="E100" s="330"/>
      <c r="F100" s="331"/>
      <c r="G100" s="332"/>
      <c r="H100" s="333"/>
      <c r="I100" s="347"/>
      <c r="J100" s="333"/>
      <c r="K100" s="334"/>
      <c r="L100" s="333"/>
      <c r="M100" s="343"/>
      <c r="N100" s="344"/>
      <c r="O100" s="337"/>
      <c r="P100" s="671"/>
      <c r="Q100" s="672"/>
      <c r="R100" s="673"/>
    </row>
    <row r="101" spans="1:18" x14ac:dyDescent="0.2">
      <c r="A101" s="668"/>
      <c r="B101" s="669"/>
      <c r="C101" s="670"/>
      <c r="D101" s="338"/>
      <c r="E101" s="330"/>
      <c r="F101" s="331"/>
      <c r="G101" s="281"/>
      <c r="H101" s="333"/>
      <c r="I101" s="347"/>
      <c r="J101" s="333"/>
      <c r="K101" s="334"/>
      <c r="L101" s="333"/>
      <c r="M101" s="343"/>
      <c r="N101" s="344"/>
      <c r="O101" s="337"/>
      <c r="P101" s="671"/>
      <c r="Q101" s="672"/>
      <c r="R101" s="673"/>
    </row>
    <row r="102" spans="1:18" x14ac:dyDescent="0.2">
      <c r="A102" s="609"/>
      <c r="B102" s="610"/>
      <c r="C102" s="611"/>
      <c r="D102" s="338"/>
      <c r="E102" s="330"/>
      <c r="F102" s="331"/>
      <c r="G102" s="332"/>
      <c r="H102" s="333"/>
      <c r="I102" s="330"/>
      <c r="J102" s="333"/>
      <c r="K102" s="334"/>
      <c r="L102" s="333"/>
      <c r="M102" s="343"/>
      <c r="N102" s="344"/>
      <c r="O102" s="337"/>
      <c r="P102" s="671"/>
      <c r="Q102" s="672"/>
      <c r="R102" s="673"/>
    </row>
    <row r="103" spans="1:18" x14ac:dyDescent="0.2">
      <c r="A103" s="668"/>
      <c r="B103" s="669"/>
      <c r="C103" s="670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671"/>
      <c r="Q103" s="672"/>
      <c r="R103" s="673"/>
    </row>
    <row r="104" spans="1:18" x14ac:dyDescent="0.2">
      <c r="A104" s="668"/>
      <c r="B104" s="669"/>
      <c r="C104" s="670"/>
      <c r="D104" s="338"/>
      <c r="E104" s="330"/>
      <c r="F104" s="331"/>
      <c r="G104" s="332"/>
      <c r="H104" s="333"/>
      <c r="I104" s="330"/>
      <c r="J104" s="333"/>
      <c r="K104" s="349"/>
      <c r="L104" s="24"/>
      <c r="M104" s="343"/>
      <c r="N104" s="344"/>
      <c r="O104" s="337"/>
      <c r="P104" s="671"/>
      <c r="Q104" s="672"/>
      <c r="R104" s="673"/>
    </row>
    <row r="105" spans="1:18" x14ac:dyDescent="0.2">
      <c r="A105" s="668"/>
      <c r="B105" s="669"/>
      <c r="C105" s="670"/>
      <c r="D105" s="338"/>
      <c r="E105" s="330"/>
      <c r="F105" s="331"/>
      <c r="G105" s="332"/>
      <c r="H105" s="333"/>
      <c r="I105" s="330"/>
      <c r="J105" s="333"/>
      <c r="K105" s="60"/>
      <c r="L105" s="333"/>
      <c r="M105" s="341"/>
      <c r="N105" s="33"/>
      <c r="O105" s="337"/>
      <c r="P105" s="671"/>
      <c r="Q105" s="672"/>
      <c r="R105" s="673"/>
    </row>
    <row r="106" spans="1:18" x14ac:dyDescent="0.2">
      <c r="A106" s="668"/>
      <c r="B106" s="669"/>
      <c r="C106" s="670"/>
      <c r="D106" s="338"/>
      <c r="E106" s="330"/>
      <c r="F106" s="331"/>
      <c r="G106" s="332"/>
      <c r="H106" s="333"/>
      <c r="I106" s="330"/>
      <c r="J106" s="333"/>
      <c r="K106" s="334"/>
      <c r="L106" s="333"/>
      <c r="M106" s="343"/>
      <c r="N106" s="344"/>
      <c r="O106" s="337"/>
      <c r="P106" s="671"/>
      <c r="Q106" s="672"/>
      <c r="R106" s="673"/>
    </row>
    <row r="107" spans="1:18" x14ac:dyDescent="0.2">
      <c r="A107" s="609"/>
      <c r="B107" s="610"/>
      <c r="C107" s="611"/>
      <c r="D107" s="338"/>
      <c r="E107" s="330"/>
      <c r="F107" s="331"/>
      <c r="G107" s="332"/>
      <c r="H107" s="333"/>
      <c r="I107" s="330"/>
      <c r="J107" s="333"/>
      <c r="K107" s="334"/>
      <c r="L107" s="333"/>
      <c r="M107" s="343"/>
      <c r="N107" s="344"/>
      <c r="O107" s="337"/>
      <c r="P107" s="671"/>
      <c r="Q107" s="672"/>
      <c r="R107" s="673"/>
    </row>
    <row r="108" spans="1:18" x14ac:dyDescent="0.2">
      <c r="A108" s="668"/>
      <c r="B108" s="669"/>
      <c r="C108" s="670"/>
      <c r="D108" s="22"/>
      <c r="E108" s="330"/>
      <c r="F108" s="331"/>
      <c r="G108" s="332"/>
      <c r="H108" s="333"/>
      <c r="I108" s="330"/>
      <c r="J108" s="24"/>
      <c r="K108" s="334"/>
      <c r="L108" s="333"/>
      <c r="M108" s="343"/>
      <c r="N108" s="344"/>
      <c r="O108" s="337"/>
      <c r="P108" s="671"/>
      <c r="Q108" s="672"/>
      <c r="R108" s="673"/>
    </row>
    <row r="109" spans="1:18" x14ac:dyDescent="0.2">
      <c r="A109" s="668"/>
      <c r="B109" s="669"/>
      <c r="C109" s="670"/>
      <c r="D109" s="338"/>
      <c r="E109" s="330"/>
      <c r="F109" s="331"/>
      <c r="G109" s="332"/>
      <c r="H109" s="333"/>
      <c r="I109" s="347"/>
      <c r="J109" s="333"/>
      <c r="K109" s="334"/>
      <c r="L109" s="333"/>
      <c r="M109" s="343"/>
      <c r="N109" s="344"/>
      <c r="O109" s="337"/>
      <c r="P109" s="671"/>
      <c r="Q109" s="672"/>
      <c r="R109" s="673"/>
    </row>
    <row r="110" spans="1:18" x14ac:dyDescent="0.2">
      <c r="A110" s="668"/>
      <c r="B110" s="669"/>
      <c r="C110" s="670"/>
      <c r="D110" s="338"/>
      <c r="E110" s="330"/>
      <c r="F110" s="331"/>
      <c r="G110" s="332"/>
      <c r="H110" s="333"/>
      <c r="I110" s="330"/>
      <c r="J110" s="333"/>
      <c r="K110" s="349"/>
      <c r="L110" s="24"/>
      <c r="M110" s="343"/>
      <c r="N110" s="344"/>
      <c r="O110" s="337"/>
      <c r="P110" s="671"/>
      <c r="Q110" s="672"/>
      <c r="R110" s="673"/>
    </row>
    <row r="111" spans="1:18" x14ac:dyDescent="0.2">
      <c r="A111" s="674"/>
      <c r="B111" s="675"/>
      <c r="C111" s="676"/>
      <c r="D111" s="354"/>
      <c r="E111" s="355"/>
      <c r="F111" s="356"/>
      <c r="G111" s="357"/>
      <c r="H111" s="358"/>
      <c r="I111" s="355"/>
      <c r="J111" s="358"/>
      <c r="K111" s="62"/>
      <c r="L111" s="358"/>
      <c r="M111" s="359"/>
      <c r="N111" s="37"/>
      <c r="O111" s="360"/>
      <c r="P111" s="677"/>
      <c r="Q111" s="678"/>
      <c r="R111" s="679"/>
    </row>
  </sheetData>
  <mergeCells count="219">
    <mergeCell ref="A109:C109"/>
    <mergeCell ref="P109:R109"/>
    <mergeCell ref="A110:C110"/>
    <mergeCell ref="P110:R110"/>
    <mergeCell ref="A111:C111"/>
    <mergeCell ref="P111:R111"/>
    <mergeCell ref="A106:C106"/>
    <mergeCell ref="P106:R106"/>
    <mergeCell ref="A107:C107"/>
    <mergeCell ref="P107:R107"/>
    <mergeCell ref="A108:C108"/>
    <mergeCell ref="P108:R108"/>
    <mergeCell ref="A103:C103"/>
    <mergeCell ref="P103:R103"/>
    <mergeCell ref="A104:C104"/>
    <mergeCell ref="P104:R104"/>
    <mergeCell ref="A105:C105"/>
    <mergeCell ref="P105:R105"/>
    <mergeCell ref="A100:C100"/>
    <mergeCell ref="P100:R100"/>
    <mergeCell ref="A101:C101"/>
    <mergeCell ref="P101:R101"/>
    <mergeCell ref="A102:C102"/>
    <mergeCell ref="P102:R102"/>
    <mergeCell ref="A97:C97"/>
    <mergeCell ref="P97:R97"/>
    <mergeCell ref="A98:C98"/>
    <mergeCell ref="P98:R98"/>
    <mergeCell ref="A99:C99"/>
    <mergeCell ref="P99:R99"/>
    <mergeCell ref="A94:C94"/>
    <mergeCell ref="P94:R94"/>
    <mergeCell ref="A95:C95"/>
    <mergeCell ref="P95:R95"/>
    <mergeCell ref="A96:C96"/>
    <mergeCell ref="P96:R96"/>
    <mergeCell ref="A91:C91"/>
    <mergeCell ref="P91:R91"/>
    <mergeCell ref="A92:C92"/>
    <mergeCell ref="P92:R92"/>
    <mergeCell ref="A93:C93"/>
    <mergeCell ref="P93:R93"/>
    <mergeCell ref="A88:C88"/>
    <mergeCell ref="P88:R88"/>
    <mergeCell ref="A89:C89"/>
    <mergeCell ref="P89:R89"/>
    <mergeCell ref="A90:C90"/>
    <mergeCell ref="P90:R90"/>
    <mergeCell ref="A85:C85"/>
    <mergeCell ref="P85:R85"/>
    <mergeCell ref="A86:C86"/>
    <mergeCell ref="P86:R86"/>
    <mergeCell ref="A87:C87"/>
    <mergeCell ref="P87:R87"/>
    <mergeCell ref="A82:C82"/>
    <mergeCell ref="P82:R82"/>
    <mergeCell ref="A83:C83"/>
    <mergeCell ref="P83:R83"/>
    <mergeCell ref="A84:C84"/>
    <mergeCell ref="P84:R84"/>
    <mergeCell ref="A79:C79"/>
    <mergeCell ref="P79:R79"/>
    <mergeCell ref="A80:C80"/>
    <mergeCell ref="P80:R80"/>
    <mergeCell ref="A81:C81"/>
    <mergeCell ref="P81:R81"/>
    <mergeCell ref="A76:C76"/>
    <mergeCell ref="P76:R76"/>
    <mergeCell ref="A77:C77"/>
    <mergeCell ref="P77:R77"/>
    <mergeCell ref="A78:C78"/>
    <mergeCell ref="P78:R78"/>
    <mergeCell ref="A73:C73"/>
    <mergeCell ref="P73:R73"/>
    <mergeCell ref="A74:C74"/>
    <mergeCell ref="P74:R74"/>
    <mergeCell ref="A75:C75"/>
    <mergeCell ref="P75:R75"/>
    <mergeCell ref="A70:C70"/>
    <mergeCell ref="P70:R70"/>
    <mergeCell ref="A71:C71"/>
    <mergeCell ref="P71:R71"/>
    <mergeCell ref="A72:C72"/>
    <mergeCell ref="P72:R72"/>
    <mergeCell ref="A67:C67"/>
    <mergeCell ref="P67:R67"/>
    <mergeCell ref="A68:C68"/>
    <mergeCell ref="P68:R68"/>
    <mergeCell ref="A69:C69"/>
    <mergeCell ref="P69:R69"/>
    <mergeCell ref="A64:C64"/>
    <mergeCell ref="P64:R64"/>
    <mergeCell ref="A65:C65"/>
    <mergeCell ref="P65:R65"/>
    <mergeCell ref="A66:C66"/>
    <mergeCell ref="P66:R66"/>
    <mergeCell ref="A61:C61"/>
    <mergeCell ref="P61:R61"/>
    <mergeCell ref="A62:C62"/>
    <mergeCell ref="P62:R62"/>
    <mergeCell ref="A63:C63"/>
    <mergeCell ref="P63:R63"/>
    <mergeCell ref="A58:C58"/>
    <mergeCell ref="P58:R58"/>
    <mergeCell ref="A59:C59"/>
    <mergeCell ref="P59:R59"/>
    <mergeCell ref="A60:C60"/>
    <mergeCell ref="P60:R60"/>
    <mergeCell ref="A55:C55"/>
    <mergeCell ref="P55:R55"/>
    <mergeCell ref="A56:C56"/>
    <mergeCell ref="P56:R56"/>
    <mergeCell ref="A57:C57"/>
    <mergeCell ref="P57:R57"/>
    <mergeCell ref="A52:C52"/>
    <mergeCell ref="P52:R52"/>
    <mergeCell ref="A53:C53"/>
    <mergeCell ref="P53:R53"/>
    <mergeCell ref="A54:C54"/>
    <mergeCell ref="P54:R54"/>
    <mergeCell ref="A49:C49"/>
    <mergeCell ref="P49:R49"/>
    <mergeCell ref="A50:C50"/>
    <mergeCell ref="P50:R50"/>
    <mergeCell ref="A51:C51"/>
    <mergeCell ref="P51:R51"/>
    <mergeCell ref="A46:C46"/>
    <mergeCell ref="P46:R46"/>
    <mergeCell ref="A47:C47"/>
    <mergeCell ref="P47:R47"/>
    <mergeCell ref="A48:C48"/>
    <mergeCell ref="P48:R48"/>
    <mergeCell ref="A43:C43"/>
    <mergeCell ref="P43:R43"/>
    <mergeCell ref="A44:C44"/>
    <mergeCell ref="P44:R44"/>
    <mergeCell ref="A45:C45"/>
    <mergeCell ref="P45:R45"/>
    <mergeCell ref="A40:C40"/>
    <mergeCell ref="P40:R40"/>
    <mergeCell ref="A41:C41"/>
    <mergeCell ref="P41:R41"/>
    <mergeCell ref="A42:C42"/>
    <mergeCell ref="P42:R42"/>
    <mergeCell ref="A37:C37"/>
    <mergeCell ref="P37:R37"/>
    <mergeCell ref="A38:C38"/>
    <mergeCell ref="P38:R38"/>
    <mergeCell ref="A39:C39"/>
    <mergeCell ref="P39:R39"/>
    <mergeCell ref="A34:C34"/>
    <mergeCell ref="P34:R34"/>
    <mergeCell ref="A35:C35"/>
    <mergeCell ref="P35:R35"/>
    <mergeCell ref="A36:C36"/>
    <mergeCell ref="P36:R36"/>
    <mergeCell ref="A31:C31"/>
    <mergeCell ref="P31:R31"/>
    <mergeCell ref="A32:C32"/>
    <mergeCell ref="P32:R32"/>
    <mergeCell ref="A33:C33"/>
    <mergeCell ref="P33:R33"/>
    <mergeCell ref="A28:C28"/>
    <mergeCell ref="P28:R28"/>
    <mergeCell ref="A29:C29"/>
    <mergeCell ref="P29:R29"/>
    <mergeCell ref="A30:C30"/>
    <mergeCell ref="P30:R30"/>
    <mergeCell ref="A25:C25"/>
    <mergeCell ref="P25:R25"/>
    <mergeCell ref="A26:C26"/>
    <mergeCell ref="P26:R26"/>
    <mergeCell ref="A27:C27"/>
    <mergeCell ref="P27:R27"/>
    <mergeCell ref="A22:C22"/>
    <mergeCell ref="P22:R22"/>
    <mergeCell ref="A23:C23"/>
    <mergeCell ref="P23:R23"/>
    <mergeCell ref="A24:C24"/>
    <mergeCell ref="P24:R24"/>
    <mergeCell ref="A19:C19"/>
    <mergeCell ref="P19:R19"/>
    <mergeCell ref="A20:C20"/>
    <mergeCell ref="P20:R20"/>
    <mergeCell ref="A21:C21"/>
    <mergeCell ref="P21:R21"/>
    <mergeCell ref="A16:C16"/>
    <mergeCell ref="P16:R16"/>
    <mergeCell ref="A17:C17"/>
    <mergeCell ref="P17:R17"/>
    <mergeCell ref="A18:C18"/>
    <mergeCell ref="P18:R18"/>
    <mergeCell ref="A13:C13"/>
    <mergeCell ref="P13:R13"/>
    <mergeCell ref="A14:C14"/>
    <mergeCell ref="P14:R14"/>
    <mergeCell ref="A15:C15"/>
    <mergeCell ref="P15:R15"/>
    <mergeCell ref="A10:C10"/>
    <mergeCell ref="P10:R10"/>
    <mergeCell ref="A11:C11"/>
    <mergeCell ref="P11:R11"/>
    <mergeCell ref="A12:C12"/>
    <mergeCell ref="P12:R12"/>
    <mergeCell ref="P6:R6"/>
    <mergeCell ref="A7:C7"/>
    <mergeCell ref="P7:R7"/>
    <mergeCell ref="A8:C8"/>
    <mergeCell ref="P8:R8"/>
    <mergeCell ref="A9:C9"/>
    <mergeCell ref="P9:R9"/>
    <mergeCell ref="L1:M1"/>
    <mergeCell ref="L2:M2"/>
    <mergeCell ref="D3:F3"/>
    <mergeCell ref="L3:M3"/>
    <mergeCell ref="A4:C4"/>
    <mergeCell ref="D4:F4"/>
    <mergeCell ref="L4:M4"/>
    <mergeCell ref="P2:Q2"/>
  </mergeCells>
  <hyperlinks>
    <hyperlink ref="D7" r:id="rId1"/>
    <hyperlink ref="D11" r:id="rId2"/>
    <hyperlink ref="D16" r:id="rId3"/>
    <hyperlink ref="D21" r:id="rId4"/>
    <hyperlink ref="D31" r:id="rId5"/>
    <hyperlink ref="D38" r:id="rId6"/>
    <hyperlink ref="D43" r:id="rId7"/>
    <hyperlink ref="D50" r:id="rId8" display="I-203"/>
    <hyperlink ref="D58" r:id="rId9" display="I-203"/>
    <hyperlink ref="D60" r:id="rId10"/>
    <hyperlink ref="D62" r:id="rId11" display="S/511"/>
    <hyperlink ref="O8" location="'Steel Price'!A1" display="P5"/>
    <hyperlink ref="O12" location="'Steel Price'!A1" display="P5"/>
    <hyperlink ref="O20" location="'Steel Price'!A1" display="P5"/>
    <hyperlink ref="O29" location="'Steel Price'!A1" display="P5"/>
    <hyperlink ref="O36" location="'Steel Price'!A1" display="P5"/>
    <hyperlink ref="O38" location="'Steel Price'!A1" display="P5"/>
    <hyperlink ref="O48" location="'Steel Price'!A1" display="P5"/>
    <hyperlink ref="O50" location="'Steel Price'!A1" display="P5"/>
    <hyperlink ref="O51" location="'Steel Price'!A1" display="P5"/>
    <hyperlink ref="O60" location="'Steel Price'!A1" display="P5"/>
    <hyperlink ref="O62" location="'Steel Price'!A1" display="P5"/>
    <hyperlink ref="O64" location="'Steel Price'!A1" display="P5"/>
    <hyperlink ref="O66" location="'Steel Price'!A1" display="P5"/>
    <hyperlink ref="O71" location="'Steel Price'!A1" display="P5"/>
    <hyperlink ref="O73" location="'Steel Price'!A1" display="P5"/>
    <hyperlink ref="O75" location="'Steel Price'!A1" display="P5"/>
    <hyperlink ref="P2" location="'Table of Contents'!A1" display="Table of Contents"/>
  </hyperlinks>
  <pageMargins left="0.7" right="0.7" top="0.75" bottom="0.75" header="0.3" footer="0.3"/>
  <pageSetup orientation="portrait" horizontalDpi="1200" verticalDpi="1200" r:id="rId12"/>
  <drawing r:id="rId1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22" activePane="bottomLeft" state="frozen"/>
      <selection pane="bottomLeft" activeCell="M41" sqref="M41"/>
    </sheetView>
  </sheetViews>
  <sheetFormatPr defaultRowHeight="12.75" x14ac:dyDescent="0.2"/>
  <cols>
    <col min="1" max="2" width="2.7109375" style="292" customWidth="1"/>
    <col min="3" max="3" width="18.28515625" style="469" bestFit="1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10" style="292" bestFit="1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705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801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505</v>
      </c>
      <c r="D9" s="575">
        <v>5</v>
      </c>
      <c r="E9" s="263">
        <f>Steel!M8+Steel!M9</f>
        <v>346</v>
      </c>
      <c r="F9" s="263" t="s">
        <v>195</v>
      </c>
      <c r="G9" s="434">
        <v>210.37</v>
      </c>
      <c r="H9" s="435">
        <f>G9*E9</f>
        <v>72788.02</v>
      </c>
      <c r="I9" s="436" t="s">
        <v>506</v>
      </c>
      <c r="J9" s="263">
        <v>120</v>
      </c>
      <c r="K9" s="263">
        <f>E9/J9</f>
        <v>2.8833333333333333</v>
      </c>
      <c r="L9" s="263">
        <f>8*K9</f>
        <v>23.066666666666666</v>
      </c>
      <c r="M9" s="263" t="s">
        <v>399</v>
      </c>
      <c r="N9" s="437">
        <v>1</v>
      </c>
      <c r="O9" s="434">
        <v>25.68</v>
      </c>
      <c r="P9" s="438">
        <f>O11*L9</f>
        <v>2300.2080000000001</v>
      </c>
      <c r="Q9" s="439" t="s">
        <v>508</v>
      </c>
      <c r="R9" s="434">
        <v>121.6</v>
      </c>
      <c r="S9" s="435">
        <f>R9*K9</f>
        <v>350.61333333333329</v>
      </c>
      <c r="T9" s="478">
        <f>S9+P9+H9</f>
        <v>75438.841333333345</v>
      </c>
      <c r="U9" s="436">
        <f>T9/E9</f>
        <v>218.03133333333338</v>
      </c>
      <c r="V9" s="441" t="str">
        <f>F9</f>
        <v>lf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/>
      <c r="I10" s="436"/>
      <c r="J10" s="263"/>
      <c r="K10" s="263"/>
      <c r="L10" s="263"/>
      <c r="M10" s="442" t="s">
        <v>507</v>
      </c>
      <c r="N10" s="443">
        <v>3</v>
      </c>
      <c r="O10" s="434">
        <v>24.68</v>
      </c>
      <c r="P10" s="438"/>
      <c r="Q10" s="439"/>
      <c r="R10" s="434"/>
      <c r="S10" s="435"/>
      <c r="T10" s="478"/>
      <c r="U10" s="436"/>
      <c r="V10" s="441"/>
    </row>
    <row r="11" spans="1:24" x14ac:dyDescent="0.2">
      <c r="A11" s="444"/>
      <c r="B11" s="281"/>
      <c r="C11" s="432"/>
      <c r="D11" s="263"/>
      <c r="E11" s="263"/>
      <c r="F11" s="263"/>
      <c r="G11" s="434"/>
      <c r="H11" s="435"/>
      <c r="I11" s="436"/>
      <c r="J11" s="263"/>
      <c r="K11" s="263"/>
      <c r="L11" s="263"/>
      <c r="M11" s="263"/>
      <c r="N11" s="437"/>
      <c r="O11" s="434">
        <f>O9+O10*N10</f>
        <v>99.72</v>
      </c>
      <c r="P11" s="438"/>
      <c r="Q11" s="439"/>
      <c r="R11" s="434"/>
      <c r="S11" s="435"/>
      <c r="T11" s="478"/>
      <c r="U11" s="436"/>
      <c r="V11" s="441"/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ht="15" x14ac:dyDescent="0.25">
      <c r="A13" s="431"/>
      <c r="B13" s="281"/>
      <c r="C13" s="432" t="s">
        <v>132</v>
      </c>
      <c r="D13" s="575">
        <v>5</v>
      </c>
      <c r="E13" s="476">
        <f>Steel!M20</f>
        <v>11796.08</v>
      </c>
      <c r="F13" s="263" t="s">
        <v>79</v>
      </c>
      <c r="G13" s="434">
        <v>1.31</v>
      </c>
      <c r="H13" s="435">
        <f>G13*E13</f>
        <v>15452.864800000001</v>
      </c>
      <c r="I13" s="436" t="s">
        <v>509</v>
      </c>
      <c r="J13" s="263">
        <v>2000</v>
      </c>
      <c r="K13" s="263">
        <f>E13/J13</f>
        <v>5.8980399999999999</v>
      </c>
      <c r="L13" s="263">
        <f>8*K13</f>
        <v>47.18432</v>
      </c>
      <c r="M13" s="263" t="s">
        <v>507</v>
      </c>
      <c r="N13" s="437">
        <v>2</v>
      </c>
      <c r="O13" s="434">
        <v>24.68</v>
      </c>
      <c r="P13" s="438">
        <f>O13*N13*L13</f>
        <v>2329.0180351999998</v>
      </c>
      <c r="Q13" s="439"/>
      <c r="R13" s="434"/>
      <c r="S13" s="435"/>
      <c r="T13" s="478">
        <f>S13+P13+H13</f>
        <v>17781.882835200002</v>
      </c>
      <c r="U13" s="436">
        <f>T13/E13</f>
        <v>1.5074400000000001</v>
      </c>
      <c r="V13" s="441" t="str">
        <f>F13</f>
        <v>lbs</v>
      </c>
    </row>
    <row r="14" spans="1:24" x14ac:dyDescent="0.2">
      <c r="A14" s="444"/>
      <c r="B14" s="281"/>
      <c r="C14" s="43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ht="15" x14ac:dyDescent="0.25">
      <c r="A15" s="431"/>
      <c r="B15" s="281"/>
      <c r="C15" s="432" t="s">
        <v>122</v>
      </c>
      <c r="D15" s="575">
        <v>5</v>
      </c>
      <c r="E15" s="476">
        <f>Steel!M29</f>
        <v>28588.363800000003</v>
      </c>
      <c r="F15" s="263" t="s">
        <v>802</v>
      </c>
      <c r="G15" s="434">
        <v>1.25</v>
      </c>
      <c r="H15" s="435">
        <f>G15*E15</f>
        <v>35735.454750000004</v>
      </c>
      <c r="I15" s="436" t="s">
        <v>510</v>
      </c>
      <c r="J15" s="263">
        <v>12000</v>
      </c>
      <c r="K15" s="263">
        <f>E15/J15</f>
        <v>2.3823636500000003</v>
      </c>
      <c r="L15" s="263">
        <f>8*K15</f>
        <v>19.058909200000002</v>
      </c>
      <c r="M15" s="263" t="s">
        <v>399</v>
      </c>
      <c r="N15" s="437">
        <v>1</v>
      </c>
      <c r="O15" s="434">
        <v>25.68</v>
      </c>
      <c r="P15" s="438">
        <f>O19*L15</f>
        <v>3219.6215311560004</v>
      </c>
      <c r="Q15" s="439" t="s">
        <v>513</v>
      </c>
      <c r="R15" s="434">
        <v>1497</v>
      </c>
      <c r="S15" s="435">
        <f>R15*K15</f>
        <v>3566.3983840500005</v>
      </c>
      <c r="T15" s="478">
        <f>S15+P15+H15</f>
        <v>42521.474665206006</v>
      </c>
      <c r="U15" s="436">
        <f>T15/E15</f>
        <v>1.4873700000000001</v>
      </c>
      <c r="V15" s="441" t="str">
        <f>F15</f>
        <v>lb.</v>
      </c>
    </row>
    <row r="16" spans="1:24" x14ac:dyDescent="0.2">
      <c r="A16" s="431"/>
      <c r="B16" s="281"/>
      <c r="C16" s="432"/>
      <c r="D16" s="263"/>
      <c r="E16" s="263"/>
      <c r="F16" s="263"/>
      <c r="G16" s="434"/>
      <c r="H16" s="435"/>
      <c r="I16" s="436"/>
      <c r="J16" s="263"/>
      <c r="K16" s="263"/>
      <c r="L16" s="263"/>
      <c r="M16" s="442" t="s">
        <v>507</v>
      </c>
      <c r="N16" s="443">
        <v>4</v>
      </c>
      <c r="O16" s="434">
        <v>24.68</v>
      </c>
      <c r="P16" s="438"/>
      <c r="Q16" s="439"/>
      <c r="R16" s="434"/>
      <c r="S16" s="435"/>
      <c r="T16" s="478"/>
      <c r="U16" s="436"/>
      <c r="V16" s="441"/>
    </row>
    <row r="17" spans="1:22" x14ac:dyDescent="0.2">
      <c r="A17" s="444"/>
      <c r="B17" s="281"/>
      <c r="C17" s="432"/>
      <c r="D17" s="263"/>
      <c r="E17" s="263"/>
      <c r="F17" s="263"/>
      <c r="G17" s="434"/>
      <c r="H17" s="435"/>
      <c r="I17" s="436"/>
      <c r="J17" s="263"/>
      <c r="K17" s="263"/>
      <c r="L17" s="263"/>
      <c r="M17" s="263" t="s">
        <v>511</v>
      </c>
      <c r="N17" s="437">
        <v>1</v>
      </c>
      <c r="O17" s="434">
        <v>23.9</v>
      </c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432"/>
      <c r="D18" s="263"/>
      <c r="E18" s="263"/>
      <c r="F18" s="263"/>
      <c r="G18" s="434"/>
      <c r="H18" s="435"/>
      <c r="I18" s="436"/>
      <c r="J18" s="263"/>
      <c r="K18" s="263"/>
      <c r="L18" s="263"/>
      <c r="M18" s="263" t="s">
        <v>512</v>
      </c>
      <c r="N18" s="437">
        <v>1</v>
      </c>
      <c r="O18" s="434">
        <v>20.63</v>
      </c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43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>
        <f>O15+O16*N16+O17+O18</f>
        <v>168.93</v>
      </c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43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/>
      <c r="P20" s="438"/>
      <c r="Q20" s="439"/>
      <c r="R20" s="434"/>
      <c r="S20" s="435"/>
      <c r="T20" s="478"/>
      <c r="U20" s="436"/>
      <c r="V20" s="441"/>
    </row>
    <row r="21" spans="1:22" ht="15" x14ac:dyDescent="0.25">
      <c r="A21" s="431"/>
      <c r="B21" s="281"/>
      <c r="C21" s="432" t="s">
        <v>167</v>
      </c>
      <c r="D21" s="575">
        <v>5</v>
      </c>
      <c r="E21" s="476">
        <f>Steel!M48/2000</f>
        <v>10.826815</v>
      </c>
      <c r="F21" s="263" t="s">
        <v>803</v>
      </c>
      <c r="G21" s="434">
        <v>1504.5</v>
      </c>
      <c r="H21" s="435">
        <f>G21*E21</f>
        <v>16288.9431675</v>
      </c>
      <c r="I21" s="436" t="s">
        <v>514</v>
      </c>
      <c r="J21" s="263">
        <v>17</v>
      </c>
      <c r="K21" s="263">
        <f>E21/J21</f>
        <v>0.63687147058823523</v>
      </c>
      <c r="L21" s="263">
        <f>8*K21</f>
        <v>5.0949717647058819</v>
      </c>
      <c r="M21" s="263" t="s">
        <v>399</v>
      </c>
      <c r="N21" s="437">
        <v>1</v>
      </c>
      <c r="O21" s="434">
        <v>25.68</v>
      </c>
      <c r="P21" s="438">
        <f>O26*L21</f>
        <v>1253.2102049647058</v>
      </c>
      <c r="Q21" s="439" t="s">
        <v>513</v>
      </c>
      <c r="R21" s="434">
        <v>1497</v>
      </c>
      <c r="S21" s="435">
        <f>R23*K21</f>
        <v>1263.1708747647058</v>
      </c>
      <c r="T21" s="478">
        <f>S21+P21+H21</f>
        <v>18805.324247229411</v>
      </c>
      <c r="U21" s="436">
        <f>T21/E21</f>
        <v>1736.9211764705883</v>
      </c>
      <c r="V21" s="441" t="str">
        <f>F21</f>
        <v>TN</v>
      </c>
    </row>
    <row r="22" spans="1:22" x14ac:dyDescent="0.2">
      <c r="A22" s="431"/>
      <c r="B22" s="281"/>
      <c r="C22" s="432"/>
      <c r="D22" s="263"/>
      <c r="E22" s="263"/>
      <c r="F22" s="263"/>
      <c r="G22" s="434"/>
      <c r="H22" s="435"/>
      <c r="I22" s="436"/>
      <c r="J22" s="263"/>
      <c r="K22" s="263"/>
      <c r="L22" s="263"/>
      <c r="M22" s="442" t="s">
        <v>507</v>
      </c>
      <c r="N22" s="443">
        <v>4</v>
      </c>
      <c r="O22" s="434">
        <v>24.68</v>
      </c>
      <c r="P22" s="438"/>
      <c r="Q22" s="439" t="s">
        <v>516</v>
      </c>
      <c r="R22" s="434">
        <v>486.4</v>
      </c>
      <c r="S22" s="435"/>
      <c r="T22" s="478"/>
      <c r="U22" s="436"/>
      <c r="V22" s="441"/>
    </row>
    <row r="23" spans="1:22" x14ac:dyDescent="0.2">
      <c r="A23" s="431"/>
      <c r="B23" s="281"/>
      <c r="C23" s="432"/>
      <c r="D23" s="263"/>
      <c r="E23" s="263"/>
      <c r="F23" s="263"/>
      <c r="G23" s="434"/>
      <c r="H23" s="435"/>
      <c r="I23" s="436"/>
      <c r="J23" s="263"/>
      <c r="K23" s="263"/>
      <c r="L23" s="263"/>
      <c r="M23" s="263" t="s">
        <v>511</v>
      </c>
      <c r="N23" s="437">
        <v>1</v>
      </c>
      <c r="O23" s="434">
        <v>23.9</v>
      </c>
      <c r="P23" s="438"/>
      <c r="Q23" s="439"/>
      <c r="R23" s="434">
        <f>SUM(R21:R22)</f>
        <v>1983.4</v>
      </c>
      <c r="S23" s="435"/>
      <c r="T23" s="478"/>
      <c r="U23" s="436"/>
      <c r="V23" s="441"/>
    </row>
    <row r="24" spans="1:22" x14ac:dyDescent="0.2">
      <c r="A24" s="431"/>
      <c r="B24" s="281"/>
      <c r="C24" s="432"/>
      <c r="D24" s="263"/>
      <c r="E24" s="263"/>
      <c r="F24" s="263"/>
      <c r="G24" s="434"/>
      <c r="H24" s="435"/>
      <c r="I24" s="436"/>
      <c r="J24" s="263"/>
      <c r="K24" s="263"/>
      <c r="L24" s="263"/>
      <c r="M24" s="263" t="s">
        <v>512</v>
      </c>
      <c r="N24" s="437">
        <v>1</v>
      </c>
      <c r="O24" s="434">
        <v>20.63</v>
      </c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432"/>
      <c r="D25" s="263"/>
      <c r="E25" s="263"/>
      <c r="F25" s="263"/>
      <c r="G25" s="434"/>
      <c r="H25" s="435"/>
      <c r="I25" s="436"/>
      <c r="J25" s="263"/>
      <c r="K25" s="263"/>
      <c r="L25" s="263"/>
      <c r="M25" s="263" t="s">
        <v>515</v>
      </c>
      <c r="N25" s="437">
        <v>3</v>
      </c>
      <c r="O25" s="434">
        <v>25.68</v>
      </c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43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>
        <f>O21+O22*4+O23+O24+O25*N25</f>
        <v>245.97</v>
      </c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43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ht="15" x14ac:dyDescent="0.25">
      <c r="A28" s="431"/>
      <c r="B28" s="281"/>
      <c r="C28" s="432" t="s">
        <v>517</v>
      </c>
      <c r="D28" s="575">
        <v>5</v>
      </c>
      <c r="E28" s="263">
        <f>Steel!M40</f>
        <v>350</v>
      </c>
      <c r="F28" s="263" t="s">
        <v>348</v>
      </c>
      <c r="G28" s="434">
        <v>0.5</v>
      </c>
      <c r="H28" s="435">
        <f>G28*E28</f>
        <v>175</v>
      </c>
      <c r="I28" s="436" t="s">
        <v>487</v>
      </c>
      <c r="J28" s="263">
        <v>475</v>
      </c>
      <c r="K28" s="263">
        <f>E28/J28</f>
        <v>0.73684210526315785</v>
      </c>
      <c r="L28" s="263">
        <f>8*K28</f>
        <v>5.8947368421052628</v>
      </c>
      <c r="M28" s="263" t="s">
        <v>473</v>
      </c>
      <c r="N28" s="437">
        <v>1</v>
      </c>
      <c r="O28" s="434">
        <v>22.05</v>
      </c>
      <c r="P28" s="438">
        <f>O28*L28</f>
        <v>129.97894736842105</v>
      </c>
      <c r="Q28" s="439"/>
      <c r="R28" s="434"/>
      <c r="S28" s="435"/>
      <c r="T28" s="477">
        <f>S28+P28+H28</f>
        <v>304.97894736842102</v>
      </c>
      <c r="U28" s="436">
        <f>T28/E28</f>
        <v>0.87136842105263146</v>
      </c>
      <c r="V28" s="441" t="str">
        <f>F28</f>
        <v>sf</v>
      </c>
    </row>
    <row r="29" spans="1:22" x14ac:dyDescent="0.2">
      <c r="A29" s="431"/>
      <c r="B29" s="281"/>
      <c r="C29" s="43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ht="15" x14ac:dyDescent="0.25">
      <c r="A30" s="431"/>
      <c r="B30" s="281"/>
      <c r="C30" s="432" t="s">
        <v>519</v>
      </c>
      <c r="D30" s="575">
        <v>5</v>
      </c>
      <c r="E30" s="263">
        <v>41</v>
      </c>
      <c r="F30" s="263" t="s">
        <v>195</v>
      </c>
      <c r="G30" s="434">
        <v>1.04</v>
      </c>
      <c r="H30" s="435">
        <f>G30*E30</f>
        <v>42.64</v>
      </c>
      <c r="I30" s="436" t="s">
        <v>520</v>
      </c>
      <c r="J30" s="263">
        <v>30</v>
      </c>
      <c r="K30" s="263">
        <f>E30/J30</f>
        <v>1.3666666666666667</v>
      </c>
      <c r="L30" s="263">
        <f>8*K30</f>
        <v>10.933333333333334</v>
      </c>
      <c r="M30" s="263" t="s">
        <v>399</v>
      </c>
      <c r="N30" s="437">
        <v>1</v>
      </c>
      <c r="O30" s="434">
        <v>25.68</v>
      </c>
      <c r="P30" s="438">
        <f>O30*L30</f>
        <v>280.76800000000003</v>
      </c>
      <c r="Q30" s="439" t="s">
        <v>516</v>
      </c>
      <c r="R30" s="434">
        <v>486.4</v>
      </c>
      <c r="S30" s="435">
        <f>R30*K30</f>
        <v>664.74666666666667</v>
      </c>
      <c r="T30" s="478">
        <f>S30+P30+H30</f>
        <v>988.15466666666669</v>
      </c>
      <c r="U30" s="436">
        <f>T30/E30</f>
        <v>24.101333333333333</v>
      </c>
      <c r="V30" s="441" t="str">
        <f>F30</f>
        <v>lf</v>
      </c>
    </row>
    <row r="31" spans="1:22" x14ac:dyDescent="0.2">
      <c r="A31" s="431"/>
      <c r="B31" s="281"/>
      <c r="C31" s="43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ht="15" x14ac:dyDescent="0.25">
      <c r="A32" s="431"/>
      <c r="B32" s="281"/>
      <c r="C32" s="432" t="s">
        <v>522</v>
      </c>
      <c r="D32" s="575">
        <v>5</v>
      </c>
      <c r="E32" s="263">
        <f>Steel!M67</f>
        <v>10</v>
      </c>
      <c r="F32" s="263" t="s">
        <v>195</v>
      </c>
      <c r="G32" s="434">
        <v>59.95</v>
      </c>
      <c r="H32" s="435">
        <f>G32*E32</f>
        <v>599.5</v>
      </c>
      <c r="I32" s="436" t="s">
        <v>509</v>
      </c>
      <c r="J32" s="263">
        <v>10</v>
      </c>
      <c r="K32" s="263">
        <f>E32/J32</f>
        <v>1</v>
      </c>
      <c r="L32" s="263">
        <f>8*K32</f>
        <v>8</v>
      </c>
      <c r="M32" s="442" t="s">
        <v>507</v>
      </c>
      <c r="N32" s="443">
        <v>2</v>
      </c>
      <c r="O32" s="434">
        <v>24.68</v>
      </c>
      <c r="P32" s="438">
        <f>O32*N32*L32</f>
        <v>394.88</v>
      </c>
      <c r="Q32" s="439"/>
      <c r="R32" s="434"/>
      <c r="S32" s="435"/>
      <c r="T32" s="478">
        <f>S32+P32+H32</f>
        <v>994.38</v>
      </c>
      <c r="U32" s="436">
        <f>T32/E32</f>
        <v>99.438000000000002</v>
      </c>
      <c r="V32" s="441" t="str">
        <f>F32</f>
        <v>lf</v>
      </c>
    </row>
    <row r="33" spans="1:22" x14ac:dyDescent="0.2">
      <c r="A33" s="431"/>
      <c r="B33" s="281"/>
      <c r="C33" s="43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ht="15" x14ac:dyDescent="0.25">
      <c r="A34" s="431"/>
      <c r="B34" s="281"/>
      <c r="C34" s="432" t="s">
        <v>526</v>
      </c>
      <c r="D34" s="575">
        <v>5</v>
      </c>
      <c r="E34" s="263">
        <f>Steel!M69</f>
        <v>10</v>
      </c>
      <c r="F34" s="263" t="s">
        <v>433</v>
      </c>
      <c r="G34" s="434">
        <v>99.74</v>
      </c>
      <c r="H34" s="435">
        <f>G34*E34</f>
        <v>997.4</v>
      </c>
      <c r="I34" s="436" t="s">
        <v>525</v>
      </c>
      <c r="J34" s="263">
        <v>24</v>
      </c>
      <c r="K34" s="263">
        <f>E34/J34</f>
        <v>0.41666666666666669</v>
      </c>
      <c r="L34" s="263">
        <f>8*K34</f>
        <v>3.3333333333333335</v>
      </c>
      <c r="M34" s="442" t="s">
        <v>507</v>
      </c>
      <c r="N34" s="443">
        <v>1</v>
      </c>
      <c r="O34" s="434">
        <v>24.68</v>
      </c>
      <c r="P34" s="438">
        <f>O34*N34*L34</f>
        <v>82.266666666666666</v>
      </c>
      <c r="Q34" s="439"/>
      <c r="R34" s="434"/>
      <c r="S34" s="435"/>
      <c r="T34" s="478">
        <f>S34+P34+H34</f>
        <v>1079.6666666666667</v>
      </c>
      <c r="U34" s="436">
        <f>T34/E34</f>
        <v>107.96666666666667</v>
      </c>
      <c r="V34" s="441" t="str">
        <f>F34</f>
        <v>ea</v>
      </c>
    </row>
    <row r="35" spans="1:22" x14ac:dyDescent="0.2">
      <c r="A35" s="431"/>
      <c r="B35" s="281"/>
      <c r="C35" s="43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ht="15" x14ac:dyDescent="0.25">
      <c r="A36" s="431"/>
      <c r="B36" s="281"/>
      <c r="C36" s="432" t="s">
        <v>804</v>
      </c>
      <c r="D36" s="575">
        <v>5</v>
      </c>
      <c r="E36" s="433">
        <f>Steel!M71</f>
        <v>3.1512486900000005</v>
      </c>
      <c r="F36" s="263" t="s">
        <v>803</v>
      </c>
      <c r="G36" s="434">
        <v>2370</v>
      </c>
      <c r="H36" s="435">
        <f>G36*E36</f>
        <v>7468.4593953000012</v>
      </c>
      <c r="I36" s="436" t="s">
        <v>528</v>
      </c>
      <c r="J36" s="263">
        <v>5</v>
      </c>
      <c r="K36" s="263">
        <f>E36/J36</f>
        <v>0.63024973800000006</v>
      </c>
      <c r="L36" s="263">
        <f>8*K36</f>
        <v>5.0419979040000005</v>
      </c>
      <c r="M36" s="263" t="s">
        <v>399</v>
      </c>
      <c r="N36" s="437">
        <v>2</v>
      </c>
      <c r="O36" s="434">
        <v>25.68</v>
      </c>
      <c r="P36" s="438">
        <f>O39*L36</f>
        <v>756.70304543231998</v>
      </c>
      <c r="Q36" s="510"/>
      <c r="R36" s="434"/>
      <c r="S36" s="435"/>
      <c r="T36" s="478">
        <f>S36+P36+H36</f>
        <v>8225.1624407323216</v>
      </c>
      <c r="U36" s="436">
        <f>T36/E36</f>
        <v>2610.1280000000002</v>
      </c>
      <c r="V36" s="441" t="str">
        <f>F36</f>
        <v>TN</v>
      </c>
    </row>
    <row r="37" spans="1:22" x14ac:dyDescent="0.2">
      <c r="A37" s="431"/>
      <c r="B37" s="281"/>
      <c r="C37" s="432"/>
      <c r="D37" s="263"/>
      <c r="E37" s="263"/>
      <c r="F37" s="263"/>
      <c r="G37" s="434"/>
      <c r="H37" s="435"/>
      <c r="I37" s="436"/>
      <c r="J37" s="263"/>
      <c r="K37" s="263"/>
      <c r="L37" s="263"/>
      <c r="M37" s="442" t="s">
        <v>507</v>
      </c>
      <c r="N37" s="443">
        <v>3</v>
      </c>
      <c r="O37" s="434">
        <v>24.68</v>
      </c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432"/>
      <c r="D38" s="263"/>
      <c r="E38" s="263"/>
      <c r="F38" s="263"/>
      <c r="G38" s="434"/>
      <c r="H38" s="435"/>
      <c r="I38" s="436"/>
      <c r="J38" s="263"/>
      <c r="K38" s="263"/>
      <c r="L38" s="263"/>
      <c r="M38" s="263" t="s">
        <v>529</v>
      </c>
      <c r="N38" s="437">
        <v>1</v>
      </c>
      <c r="O38" s="434">
        <v>24.68</v>
      </c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43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>
        <f>O36*N36+O37*N37+O38</f>
        <v>150.07999999999998</v>
      </c>
      <c r="P39" s="438"/>
      <c r="Q39" s="439"/>
      <c r="R39" s="434"/>
      <c r="S39" s="435"/>
      <c r="T39" s="478"/>
      <c r="U39" s="436"/>
      <c r="V39" s="441"/>
    </row>
    <row r="40" spans="1:22" ht="15" x14ac:dyDescent="0.25">
      <c r="A40" s="431"/>
      <c r="B40" s="281"/>
      <c r="C40" s="432" t="s">
        <v>234</v>
      </c>
      <c r="D40" s="575">
        <v>5</v>
      </c>
      <c r="E40" s="263">
        <f>Steel!M73/8</f>
        <v>38.25</v>
      </c>
      <c r="F40" s="263" t="s">
        <v>433</v>
      </c>
      <c r="G40" s="434">
        <v>803.2</v>
      </c>
      <c r="H40" s="435">
        <f>G40*E40</f>
        <v>30722.400000000001</v>
      </c>
      <c r="I40" s="436" t="s">
        <v>548</v>
      </c>
      <c r="J40" s="263">
        <v>8</v>
      </c>
      <c r="K40" s="263">
        <f>E40/J40</f>
        <v>4.78125</v>
      </c>
      <c r="L40" s="263">
        <f>8*K40</f>
        <v>38.25</v>
      </c>
      <c r="M40" s="263" t="s">
        <v>507</v>
      </c>
      <c r="N40" s="437">
        <v>3</v>
      </c>
      <c r="O40" s="434">
        <v>24.68</v>
      </c>
      <c r="P40" s="438">
        <f>O40*N40+O41*L40</f>
        <v>964.5</v>
      </c>
      <c r="Q40" s="439"/>
      <c r="R40" s="434"/>
      <c r="S40" s="435"/>
      <c r="T40" s="478">
        <f>S40+P40+H40</f>
        <v>31686.9</v>
      </c>
      <c r="U40" s="436">
        <f>T40/E40</f>
        <v>828.41568627450988</v>
      </c>
      <c r="V40" s="441" t="str">
        <f>F40</f>
        <v>ea</v>
      </c>
    </row>
    <row r="41" spans="1:22" ht="13.5" thickBot="1" x14ac:dyDescent="0.25">
      <c r="A41" s="446"/>
      <c r="B41" s="364"/>
      <c r="C41" s="447"/>
      <c r="D41" s="270"/>
      <c r="E41" s="270"/>
      <c r="F41" s="270"/>
      <c r="G41" s="448"/>
      <c r="H41" s="449"/>
      <c r="I41" s="450"/>
      <c r="J41" s="270"/>
      <c r="K41" s="442"/>
      <c r="L41" s="442"/>
      <c r="M41" s="270" t="s">
        <v>549</v>
      </c>
      <c r="N41" s="451">
        <v>1</v>
      </c>
      <c r="O41" s="448">
        <v>23.28</v>
      </c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SUM(H8:H41)</f>
        <v>180270.68211280002</v>
      </c>
      <c r="I42" s="462"/>
      <c r="J42" s="463"/>
      <c r="K42" s="461">
        <f>SUM(K8:K41)</f>
        <v>20.732283630518062</v>
      </c>
      <c r="L42" s="461">
        <f>SUM(L8:L41)</f>
        <v>165.85826904414449</v>
      </c>
      <c r="M42" s="462"/>
      <c r="N42" s="464"/>
      <c r="O42" s="463"/>
      <c r="P42" s="461">
        <f>SUM(P8:P41)</f>
        <v>11711.154430788112</v>
      </c>
      <c r="Q42" s="462"/>
      <c r="R42" s="463"/>
      <c r="S42" s="465">
        <f>SUM(S8:S41)</f>
        <v>5844.9292588147064</v>
      </c>
      <c r="T42" s="461">
        <f>SUM(T8:T41)</f>
        <v>197826.76580240284</v>
      </c>
      <c r="U42" s="467" t="s">
        <v>397</v>
      </c>
      <c r="V42" s="468"/>
    </row>
    <row r="43" spans="1:22" x14ac:dyDescent="0.2">
      <c r="C43" s="469" t="s">
        <v>569</v>
      </c>
      <c r="N43" s="470"/>
      <c r="S43" s="471">
        <v>0.3</v>
      </c>
      <c r="T43" s="503">
        <f>T42*1.3</f>
        <v>257174.79554312371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Steel!A1" display="Steel!A1"/>
    <hyperlink ref="D13" location="Steel!A1" display="Steel!A1"/>
    <hyperlink ref="D15" location="Steel!A1" display="Steel!A1"/>
    <hyperlink ref="D21" location="Steel!A1" display="Steel!A1"/>
    <hyperlink ref="D28" location="Steel!A1" display="Steel!A1"/>
    <hyperlink ref="D30" location="Steel!A1" display="Steel!A1"/>
    <hyperlink ref="D32" location="Steel!A1" display="Steel!A1"/>
    <hyperlink ref="D34" location="Steel!A1" display="Steel!A1"/>
    <hyperlink ref="D36" location="Steel!A1" display="Steel!A1"/>
    <hyperlink ref="D40" location="Steel!A1" display="Steel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R115"/>
  <sheetViews>
    <sheetView zoomScale="115" zoomScaleNormal="115"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P2" sqref="P2:Q2"/>
    </sheetView>
  </sheetViews>
  <sheetFormatPr defaultRowHeight="12.75" x14ac:dyDescent="0.2"/>
  <cols>
    <col min="1" max="3" width="9.140625" style="301"/>
    <col min="4" max="10" width="9.140625" style="292"/>
    <col min="11" max="11" width="9.140625" style="523"/>
    <col min="12" max="12" width="9.140625" style="292"/>
    <col min="13" max="13" width="9.28515625" style="292" customWidth="1"/>
    <col min="14" max="16384" width="9.140625" style="292"/>
  </cols>
  <sheetData>
    <row r="1" spans="1:18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383"/>
      <c r="L1" s="620" t="s">
        <v>706</v>
      </c>
      <c r="M1" s="620"/>
      <c r="N1" s="287"/>
      <c r="O1" s="302"/>
    </row>
    <row r="2" spans="1:18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383"/>
      <c r="L2" s="610" t="s">
        <v>21</v>
      </c>
      <c r="M2" s="610"/>
      <c r="N2" s="281"/>
      <c r="O2" s="284"/>
      <c r="P2" s="638" t="s">
        <v>781</v>
      </c>
      <c r="Q2" s="638"/>
    </row>
    <row r="3" spans="1:18" x14ac:dyDescent="0.2">
      <c r="A3" s="303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383"/>
      <c r="L3" s="610" t="s">
        <v>656</v>
      </c>
      <c r="M3" s="610"/>
      <c r="N3" s="281"/>
      <c r="O3" s="284"/>
    </row>
    <row r="4" spans="1:18" x14ac:dyDescent="0.2">
      <c r="A4" s="710" t="s">
        <v>18</v>
      </c>
      <c r="B4" s="710"/>
      <c r="C4" s="710"/>
      <c r="D4" s="711" t="s">
        <v>178</v>
      </c>
      <c r="E4" s="711"/>
      <c r="F4" s="711"/>
      <c r="G4" s="290"/>
      <c r="H4" s="290"/>
      <c r="I4" s="290"/>
      <c r="J4" s="290"/>
      <c r="K4" s="511"/>
      <c r="L4" s="711" t="s">
        <v>19</v>
      </c>
      <c r="M4" s="711"/>
      <c r="N4" s="290"/>
      <c r="O4" s="288"/>
    </row>
    <row r="5" spans="1:18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512"/>
      <c r="L5" s="312"/>
      <c r="M5" s="311"/>
      <c r="N5" s="312"/>
      <c r="O5" s="293" t="s">
        <v>4</v>
      </c>
      <c r="P5" s="313"/>
      <c r="Q5" s="314"/>
      <c r="R5" s="315"/>
    </row>
    <row r="6" spans="1:18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513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704" t="s">
        <v>40</v>
      </c>
      <c r="Q6" s="705"/>
      <c r="R6" s="706"/>
    </row>
    <row r="7" spans="1:18" x14ac:dyDescent="0.2">
      <c r="A7" s="593"/>
      <c r="B7" s="594"/>
      <c r="C7" s="595"/>
      <c r="D7" s="322"/>
      <c r="E7" s="323"/>
      <c r="F7" s="324"/>
      <c r="G7" s="325"/>
      <c r="H7" s="326"/>
      <c r="I7" s="323"/>
      <c r="J7" s="326"/>
      <c r="K7" s="514"/>
      <c r="L7" s="328"/>
      <c r="M7" s="323"/>
      <c r="N7" s="326"/>
      <c r="O7" s="329"/>
      <c r="P7" s="707"/>
      <c r="Q7" s="708"/>
      <c r="R7" s="709"/>
    </row>
    <row r="8" spans="1:18" ht="15" x14ac:dyDescent="0.25">
      <c r="A8" s="694" t="s">
        <v>179</v>
      </c>
      <c r="B8" s="695"/>
      <c r="C8" s="696"/>
      <c r="D8" s="566" t="s">
        <v>176</v>
      </c>
      <c r="E8" s="330"/>
      <c r="F8" s="331"/>
      <c r="G8" s="332"/>
      <c r="H8" s="333"/>
      <c r="I8" s="330"/>
      <c r="J8" s="24"/>
      <c r="K8" s="515"/>
      <c r="L8" s="333"/>
      <c r="M8" s="330"/>
      <c r="N8" s="333"/>
      <c r="O8" s="570" t="s">
        <v>749</v>
      </c>
      <c r="P8" s="671"/>
      <c r="Q8" s="672"/>
      <c r="R8" s="673"/>
    </row>
    <row r="9" spans="1:18" ht="15" x14ac:dyDescent="0.25">
      <c r="A9" s="694" t="s">
        <v>180</v>
      </c>
      <c r="B9" s="695"/>
      <c r="C9" s="696"/>
      <c r="D9" s="564" t="s">
        <v>194</v>
      </c>
      <c r="E9" s="330"/>
      <c r="F9" s="331"/>
      <c r="G9" s="332"/>
      <c r="H9" s="333"/>
      <c r="I9" s="330"/>
      <c r="J9" s="333"/>
      <c r="K9" s="515"/>
      <c r="L9" s="333"/>
      <c r="M9" s="330"/>
      <c r="N9" s="333"/>
      <c r="O9" s="337"/>
      <c r="P9" s="671"/>
      <c r="Q9" s="672"/>
      <c r="R9" s="673"/>
    </row>
    <row r="10" spans="1:18" x14ac:dyDescent="0.2">
      <c r="A10" s="668" t="s">
        <v>190</v>
      </c>
      <c r="B10" s="669"/>
      <c r="C10" s="670"/>
      <c r="D10" s="22"/>
      <c r="E10" s="330">
        <v>26</v>
      </c>
      <c r="F10" s="331"/>
      <c r="G10" s="332"/>
      <c r="H10" s="333">
        <v>14</v>
      </c>
      <c r="I10" s="485">
        <f>H10*E10</f>
        <v>364</v>
      </c>
      <c r="J10" s="333" t="s">
        <v>195</v>
      </c>
      <c r="K10" s="516">
        <f>0.67*I10</f>
        <v>243.88000000000002</v>
      </c>
      <c r="L10" s="333" t="s">
        <v>196</v>
      </c>
      <c r="M10" s="330"/>
      <c r="N10" s="333"/>
      <c r="O10" s="337"/>
      <c r="P10" s="671"/>
      <c r="Q10" s="672"/>
      <c r="R10" s="673"/>
    </row>
    <row r="11" spans="1:18" x14ac:dyDescent="0.2">
      <c r="A11" s="668" t="s">
        <v>192</v>
      </c>
      <c r="B11" s="669"/>
      <c r="C11" s="670"/>
      <c r="D11" s="338"/>
      <c r="E11" s="330">
        <v>24</v>
      </c>
      <c r="F11" s="331"/>
      <c r="G11" s="332"/>
      <c r="H11" s="333">
        <v>14</v>
      </c>
      <c r="I11" s="485">
        <f t="shared" ref="I11:I57" si="0">H11*E11</f>
        <v>336</v>
      </c>
      <c r="J11" s="333" t="s">
        <v>195</v>
      </c>
      <c r="K11" s="516">
        <f>994*1</f>
        <v>994</v>
      </c>
      <c r="L11" s="333" t="s">
        <v>196</v>
      </c>
      <c r="M11" s="330"/>
      <c r="N11" s="333"/>
      <c r="O11" s="337"/>
      <c r="P11" s="671"/>
      <c r="Q11" s="672"/>
      <c r="R11" s="673"/>
    </row>
    <row r="12" spans="1:18" x14ac:dyDescent="0.2">
      <c r="A12" s="668" t="s">
        <v>191</v>
      </c>
      <c r="B12" s="669"/>
      <c r="C12" s="670"/>
      <c r="D12" s="338"/>
      <c r="E12" s="330">
        <v>3.33</v>
      </c>
      <c r="F12" s="331"/>
      <c r="G12" s="332"/>
      <c r="H12" s="333">
        <v>14</v>
      </c>
      <c r="I12" s="485">
        <f t="shared" si="0"/>
        <v>46.620000000000005</v>
      </c>
      <c r="J12" s="333" t="s">
        <v>195</v>
      </c>
      <c r="K12" s="516">
        <f>1.33*I12</f>
        <v>62.004600000000011</v>
      </c>
      <c r="L12" s="333" t="s">
        <v>196</v>
      </c>
      <c r="M12" s="485">
        <f>K10+K11+K12</f>
        <v>1299.8846000000001</v>
      </c>
      <c r="N12" s="333" t="s">
        <v>196</v>
      </c>
      <c r="O12" s="337"/>
      <c r="P12" s="671"/>
      <c r="Q12" s="672"/>
      <c r="R12" s="673"/>
    </row>
    <row r="13" spans="1:18" x14ac:dyDescent="0.2">
      <c r="A13" s="668"/>
      <c r="B13" s="669"/>
      <c r="C13" s="670"/>
      <c r="D13" s="338"/>
      <c r="E13" s="330"/>
      <c r="F13" s="331"/>
      <c r="G13" s="332"/>
      <c r="H13" s="333"/>
      <c r="I13" s="485"/>
      <c r="J13" s="340"/>
      <c r="K13" s="516"/>
      <c r="L13" s="333"/>
      <c r="M13" s="485"/>
      <c r="N13" s="333"/>
      <c r="O13" s="337"/>
      <c r="P13" s="671"/>
      <c r="Q13" s="672"/>
      <c r="R13" s="673"/>
    </row>
    <row r="14" spans="1:18" x14ac:dyDescent="0.2">
      <c r="A14" s="694" t="s">
        <v>181</v>
      </c>
      <c r="B14" s="695"/>
      <c r="C14" s="696"/>
      <c r="D14" s="338" t="s">
        <v>197</v>
      </c>
      <c r="E14" s="330"/>
      <c r="F14" s="331"/>
      <c r="G14" s="332"/>
      <c r="H14" s="333"/>
      <c r="I14" s="485"/>
      <c r="J14" s="333"/>
      <c r="K14" s="73"/>
      <c r="L14" s="333"/>
      <c r="M14" s="508"/>
      <c r="N14" s="33"/>
      <c r="O14" s="283"/>
      <c r="P14" s="671"/>
      <c r="Q14" s="672"/>
      <c r="R14" s="673"/>
    </row>
    <row r="15" spans="1:18" x14ac:dyDescent="0.2">
      <c r="A15" s="668" t="s">
        <v>190</v>
      </c>
      <c r="B15" s="669"/>
      <c r="C15" s="670"/>
      <c r="D15" s="338"/>
      <c r="E15" s="330">
        <v>26</v>
      </c>
      <c r="F15" s="331"/>
      <c r="G15" s="332"/>
      <c r="H15" s="333">
        <v>9</v>
      </c>
      <c r="I15" s="485">
        <f t="shared" si="0"/>
        <v>234</v>
      </c>
      <c r="J15" s="333" t="s">
        <v>195</v>
      </c>
      <c r="K15" s="516">
        <f>I15*0.67</f>
        <v>156.78</v>
      </c>
      <c r="L15" s="333" t="s">
        <v>196</v>
      </c>
      <c r="M15" s="508"/>
      <c r="N15" s="344"/>
      <c r="O15" s="337"/>
      <c r="P15" s="671"/>
      <c r="Q15" s="672"/>
      <c r="R15" s="673"/>
    </row>
    <row r="16" spans="1:18" x14ac:dyDescent="0.2">
      <c r="A16" s="609" t="s">
        <v>192</v>
      </c>
      <c r="B16" s="610"/>
      <c r="C16" s="611"/>
      <c r="D16" s="338"/>
      <c r="E16" s="330">
        <v>22.75</v>
      </c>
      <c r="F16" s="331"/>
      <c r="G16" s="332"/>
      <c r="H16" s="333">
        <v>9</v>
      </c>
      <c r="I16" s="485">
        <f t="shared" si="0"/>
        <v>204.75</v>
      </c>
      <c r="J16" s="333" t="s">
        <v>195</v>
      </c>
      <c r="K16" s="516">
        <f>I16*1</f>
        <v>204.75</v>
      </c>
      <c r="L16" s="333" t="s">
        <v>196</v>
      </c>
      <c r="M16" s="508"/>
      <c r="N16" s="344"/>
      <c r="O16" s="337"/>
      <c r="P16" s="671"/>
      <c r="Q16" s="672"/>
      <c r="R16" s="673"/>
    </row>
    <row r="17" spans="1:18" x14ac:dyDescent="0.2">
      <c r="A17" s="609" t="s">
        <v>191</v>
      </c>
      <c r="B17" s="610"/>
      <c r="C17" s="611"/>
      <c r="D17" s="338"/>
      <c r="E17" s="330">
        <v>6</v>
      </c>
      <c r="F17" s="331"/>
      <c r="G17" s="332"/>
      <c r="H17" s="333">
        <v>9</v>
      </c>
      <c r="I17" s="485">
        <f t="shared" si="0"/>
        <v>54</v>
      </c>
      <c r="J17" s="333" t="s">
        <v>195</v>
      </c>
      <c r="K17" s="516">
        <f>I17*1.33</f>
        <v>71.820000000000007</v>
      </c>
      <c r="L17" s="333" t="s">
        <v>196</v>
      </c>
      <c r="M17" s="508">
        <f>K15+K16+K17</f>
        <v>433.34999999999997</v>
      </c>
      <c r="N17" s="344" t="s">
        <v>196</v>
      </c>
      <c r="O17" s="337"/>
      <c r="P17" s="671"/>
      <c r="Q17" s="672"/>
      <c r="R17" s="673"/>
    </row>
    <row r="18" spans="1:18" x14ac:dyDescent="0.2">
      <c r="A18" s="668"/>
      <c r="B18" s="669"/>
      <c r="C18" s="670"/>
      <c r="D18" s="22"/>
      <c r="E18" s="330"/>
      <c r="F18" s="331"/>
      <c r="G18" s="332"/>
      <c r="H18" s="333"/>
      <c r="I18" s="485"/>
      <c r="J18" s="333"/>
      <c r="K18" s="517"/>
      <c r="L18" s="333"/>
      <c r="M18" s="508"/>
      <c r="N18" s="344"/>
      <c r="O18" s="337"/>
      <c r="P18" s="671"/>
      <c r="Q18" s="672"/>
      <c r="R18" s="673"/>
    </row>
    <row r="19" spans="1:18" x14ac:dyDescent="0.2">
      <c r="A19" s="694" t="s">
        <v>182</v>
      </c>
      <c r="B19" s="695"/>
      <c r="C19" s="696"/>
      <c r="D19" s="22" t="s">
        <v>198</v>
      </c>
      <c r="E19" s="330"/>
      <c r="F19" s="331"/>
      <c r="G19" s="332"/>
      <c r="H19" s="333"/>
      <c r="I19" s="485"/>
      <c r="J19" s="333"/>
      <c r="K19" s="516"/>
      <c r="L19" s="333"/>
      <c r="M19" s="508"/>
      <c r="N19" s="344"/>
      <c r="O19" s="337"/>
      <c r="P19" s="671"/>
      <c r="Q19" s="672"/>
      <c r="R19" s="673"/>
    </row>
    <row r="20" spans="1:18" x14ac:dyDescent="0.2">
      <c r="A20" s="668" t="s">
        <v>190</v>
      </c>
      <c r="B20" s="669"/>
      <c r="C20" s="670"/>
      <c r="D20" s="338"/>
      <c r="E20" s="330">
        <v>18</v>
      </c>
      <c r="F20" s="331"/>
      <c r="G20" s="332"/>
      <c r="H20" s="333">
        <v>13</v>
      </c>
      <c r="I20" s="485">
        <f t="shared" si="0"/>
        <v>234</v>
      </c>
      <c r="J20" s="333" t="s">
        <v>195</v>
      </c>
      <c r="K20" s="516">
        <f>I20*0.67</f>
        <v>156.78</v>
      </c>
      <c r="L20" s="333" t="s">
        <v>196</v>
      </c>
      <c r="M20" s="508"/>
      <c r="N20" s="344"/>
      <c r="O20" s="337"/>
      <c r="P20" s="671"/>
      <c r="Q20" s="672"/>
      <c r="R20" s="673"/>
    </row>
    <row r="21" spans="1:18" x14ac:dyDescent="0.2">
      <c r="A21" s="609" t="s">
        <v>192</v>
      </c>
      <c r="B21" s="610"/>
      <c r="C21" s="611"/>
      <c r="D21" s="338"/>
      <c r="E21" s="330">
        <v>20</v>
      </c>
      <c r="F21" s="331"/>
      <c r="G21" s="332"/>
      <c r="H21" s="333">
        <v>13</v>
      </c>
      <c r="I21" s="485">
        <f t="shared" si="0"/>
        <v>260</v>
      </c>
      <c r="J21" s="333" t="s">
        <v>195</v>
      </c>
      <c r="K21" s="516">
        <f>I21*1</f>
        <v>260</v>
      </c>
      <c r="L21" s="333" t="s">
        <v>196</v>
      </c>
      <c r="M21" s="508"/>
      <c r="N21" s="344"/>
      <c r="O21" s="337"/>
      <c r="P21" s="671"/>
      <c r="Q21" s="672"/>
      <c r="R21" s="673"/>
    </row>
    <row r="22" spans="1:18" x14ac:dyDescent="0.2">
      <c r="A22" s="609" t="s">
        <v>191</v>
      </c>
      <c r="B22" s="610"/>
      <c r="C22" s="611"/>
      <c r="D22" s="338"/>
      <c r="E22" s="330">
        <v>3.33</v>
      </c>
      <c r="F22" s="331"/>
      <c r="G22" s="332"/>
      <c r="H22" s="333">
        <v>13</v>
      </c>
      <c r="I22" s="485">
        <f t="shared" si="0"/>
        <v>43.29</v>
      </c>
      <c r="J22" s="333" t="s">
        <v>195</v>
      </c>
      <c r="K22" s="516">
        <f>I22*1.33</f>
        <v>57.575700000000005</v>
      </c>
      <c r="L22" s="333" t="s">
        <v>196</v>
      </c>
      <c r="M22" s="508">
        <f>K20+K21+K22</f>
        <v>474.35569999999996</v>
      </c>
      <c r="N22" s="344" t="s">
        <v>196</v>
      </c>
      <c r="O22" s="337"/>
      <c r="P22" s="671"/>
      <c r="Q22" s="672"/>
      <c r="R22" s="673"/>
    </row>
    <row r="23" spans="1:18" x14ac:dyDescent="0.2">
      <c r="A23" s="668"/>
      <c r="B23" s="669"/>
      <c r="C23" s="670"/>
      <c r="D23" s="338"/>
      <c r="E23" s="330"/>
      <c r="F23" s="331"/>
      <c r="G23" s="332"/>
      <c r="H23" s="333"/>
      <c r="I23" s="485"/>
      <c r="J23" s="333"/>
      <c r="K23" s="516"/>
      <c r="L23" s="333"/>
      <c r="M23" s="508"/>
      <c r="N23" s="344"/>
      <c r="O23" s="337"/>
      <c r="P23" s="671"/>
      <c r="Q23" s="672"/>
      <c r="R23" s="673"/>
    </row>
    <row r="24" spans="1:18" x14ac:dyDescent="0.2">
      <c r="A24" s="694" t="s">
        <v>183</v>
      </c>
      <c r="B24" s="695"/>
      <c r="C24" s="696"/>
      <c r="D24" s="338" t="s">
        <v>199</v>
      </c>
      <c r="E24" s="330"/>
      <c r="F24" s="331"/>
      <c r="G24" s="332"/>
      <c r="H24" s="333"/>
      <c r="I24" s="485"/>
      <c r="J24" s="333"/>
      <c r="K24" s="516"/>
      <c r="L24" s="333"/>
      <c r="M24" s="508"/>
      <c r="N24" s="344"/>
      <c r="O24" s="337"/>
      <c r="P24" s="671"/>
      <c r="Q24" s="672"/>
      <c r="R24" s="673"/>
    </row>
    <row r="25" spans="1:18" x14ac:dyDescent="0.2">
      <c r="A25" s="668" t="s">
        <v>190</v>
      </c>
      <c r="B25" s="669"/>
      <c r="C25" s="670"/>
      <c r="D25" s="338"/>
      <c r="E25" s="330">
        <v>19</v>
      </c>
      <c r="F25" s="331"/>
      <c r="G25" s="332"/>
      <c r="H25" s="333">
        <v>18</v>
      </c>
      <c r="I25" s="485">
        <f t="shared" si="0"/>
        <v>342</v>
      </c>
      <c r="J25" s="333" t="s">
        <v>195</v>
      </c>
      <c r="K25" s="516">
        <f>I25*0.67</f>
        <v>229.14000000000001</v>
      </c>
      <c r="L25" s="333" t="s">
        <v>196</v>
      </c>
      <c r="M25" s="508"/>
      <c r="N25" s="344"/>
      <c r="O25" s="337"/>
      <c r="P25" s="671"/>
      <c r="Q25" s="672"/>
      <c r="R25" s="673"/>
    </row>
    <row r="26" spans="1:18" x14ac:dyDescent="0.2">
      <c r="A26" s="609" t="s">
        <v>192</v>
      </c>
      <c r="B26" s="610"/>
      <c r="C26" s="611"/>
      <c r="D26" s="338"/>
      <c r="E26" s="330">
        <v>20</v>
      </c>
      <c r="F26" s="331"/>
      <c r="G26" s="332"/>
      <c r="H26" s="333">
        <v>18</v>
      </c>
      <c r="I26" s="485">
        <f t="shared" si="0"/>
        <v>360</v>
      </c>
      <c r="J26" s="333" t="s">
        <v>195</v>
      </c>
      <c r="K26" s="516">
        <f>I26*1</f>
        <v>360</v>
      </c>
      <c r="L26" s="333" t="s">
        <v>196</v>
      </c>
      <c r="M26" s="508"/>
      <c r="N26" s="344"/>
      <c r="O26" s="337"/>
      <c r="P26" s="671"/>
      <c r="Q26" s="672"/>
      <c r="R26" s="673"/>
    </row>
    <row r="27" spans="1:18" x14ac:dyDescent="0.2">
      <c r="A27" s="609" t="s">
        <v>191</v>
      </c>
      <c r="B27" s="610"/>
      <c r="C27" s="611"/>
      <c r="D27" s="338"/>
      <c r="E27" s="330">
        <v>3.25</v>
      </c>
      <c r="F27" s="331"/>
      <c r="G27" s="332"/>
      <c r="H27" s="333">
        <v>18</v>
      </c>
      <c r="I27" s="485">
        <f t="shared" si="0"/>
        <v>58.5</v>
      </c>
      <c r="J27" s="333" t="s">
        <v>195</v>
      </c>
      <c r="K27" s="516">
        <f>I27*1.33</f>
        <v>77.805000000000007</v>
      </c>
      <c r="L27" s="333" t="s">
        <v>196</v>
      </c>
      <c r="M27" s="508">
        <f>K25+K26+K27</f>
        <v>666.94499999999994</v>
      </c>
      <c r="N27" s="344" t="s">
        <v>196</v>
      </c>
      <c r="O27" s="337"/>
      <c r="P27" s="671"/>
      <c r="Q27" s="672"/>
      <c r="R27" s="673"/>
    </row>
    <row r="28" spans="1:18" x14ac:dyDescent="0.2">
      <c r="A28" s="668"/>
      <c r="B28" s="669"/>
      <c r="C28" s="670"/>
      <c r="D28" s="338"/>
      <c r="E28" s="330"/>
      <c r="F28" s="331"/>
      <c r="G28" s="332"/>
      <c r="H28" s="333"/>
      <c r="I28" s="485"/>
      <c r="J28" s="333"/>
      <c r="K28" s="516"/>
      <c r="L28" s="333"/>
      <c r="M28" s="508"/>
      <c r="N28" s="344"/>
      <c r="O28" s="337"/>
      <c r="P28" s="671"/>
      <c r="Q28" s="672"/>
      <c r="R28" s="673"/>
    </row>
    <row r="29" spans="1:18" x14ac:dyDescent="0.2">
      <c r="A29" s="694" t="s">
        <v>184</v>
      </c>
      <c r="B29" s="695"/>
      <c r="C29" s="696"/>
      <c r="D29" s="338" t="s">
        <v>200</v>
      </c>
      <c r="E29" s="330"/>
      <c r="F29" s="331"/>
      <c r="G29" s="332"/>
      <c r="H29" s="333"/>
      <c r="I29" s="485"/>
      <c r="J29" s="333"/>
      <c r="K29" s="516"/>
      <c r="L29" s="333"/>
      <c r="M29" s="508"/>
      <c r="N29" s="344"/>
      <c r="O29" s="337"/>
      <c r="P29" s="671"/>
      <c r="Q29" s="672"/>
      <c r="R29" s="673"/>
    </row>
    <row r="30" spans="1:18" x14ac:dyDescent="0.2">
      <c r="A30" s="668" t="s">
        <v>190</v>
      </c>
      <c r="B30" s="669"/>
      <c r="C30" s="670"/>
      <c r="D30" s="338"/>
      <c r="E30" s="330">
        <v>27</v>
      </c>
      <c r="F30" s="331"/>
      <c r="G30" s="332"/>
      <c r="H30" s="333">
        <v>9</v>
      </c>
      <c r="I30" s="485">
        <f t="shared" si="0"/>
        <v>243</v>
      </c>
      <c r="J30" s="333" t="s">
        <v>195</v>
      </c>
      <c r="K30" s="516">
        <f>I30*0.67</f>
        <v>162.81</v>
      </c>
      <c r="L30" s="333" t="s">
        <v>196</v>
      </c>
      <c r="M30" s="508"/>
      <c r="N30" s="344"/>
      <c r="O30" s="337"/>
      <c r="P30" s="671"/>
      <c r="Q30" s="672"/>
      <c r="R30" s="673"/>
    </row>
    <row r="31" spans="1:18" x14ac:dyDescent="0.2">
      <c r="A31" s="609" t="s">
        <v>192</v>
      </c>
      <c r="B31" s="610"/>
      <c r="C31" s="611"/>
      <c r="D31" s="338"/>
      <c r="E31" s="330">
        <v>26.67</v>
      </c>
      <c r="F31" s="331"/>
      <c r="G31" s="332"/>
      <c r="H31" s="333">
        <v>9</v>
      </c>
      <c r="I31" s="485">
        <f t="shared" si="0"/>
        <v>240.03000000000003</v>
      </c>
      <c r="J31" s="333" t="s">
        <v>195</v>
      </c>
      <c r="K31" s="516">
        <f>I31*1</f>
        <v>240.03000000000003</v>
      </c>
      <c r="L31" s="333" t="s">
        <v>196</v>
      </c>
      <c r="M31" s="508"/>
      <c r="N31" s="344"/>
      <c r="O31" s="337"/>
      <c r="P31" s="671"/>
      <c r="Q31" s="672"/>
      <c r="R31" s="673"/>
    </row>
    <row r="32" spans="1:18" x14ac:dyDescent="0.2">
      <c r="A32" s="609" t="s">
        <v>191</v>
      </c>
      <c r="B32" s="610"/>
      <c r="C32" s="611"/>
      <c r="D32" s="338"/>
      <c r="E32" s="330">
        <v>1.67</v>
      </c>
      <c r="F32" s="331"/>
      <c r="G32" s="332"/>
      <c r="H32" s="333">
        <v>9</v>
      </c>
      <c r="I32" s="485">
        <f t="shared" si="0"/>
        <v>15.03</v>
      </c>
      <c r="J32" s="333" t="s">
        <v>195</v>
      </c>
      <c r="K32" s="516">
        <f>I32*1.33</f>
        <v>19.989899999999999</v>
      </c>
      <c r="L32" s="333" t="s">
        <v>196</v>
      </c>
      <c r="M32" s="508"/>
      <c r="N32" s="344"/>
      <c r="O32" s="337"/>
      <c r="P32" s="671"/>
      <c r="Q32" s="672"/>
      <c r="R32" s="673"/>
    </row>
    <row r="33" spans="1:18" x14ac:dyDescent="0.2">
      <c r="A33" s="668" t="s">
        <v>201</v>
      </c>
      <c r="B33" s="669"/>
      <c r="C33" s="670"/>
      <c r="D33" s="22"/>
      <c r="E33" s="330">
        <v>3</v>
      </c>
      <c r="F33" s="331"/>
      <c r="G33" s="332"/>
      <c r="H33" s="333">
        <v>9</v>
      </c>
      <c r="I33" s="485">
        <f t="shared" si="0"/>
        <v>27</v>
      </c>
      <c r="J33" s="333" t="s">
        <v>195</v>
      </c>
      <c r="K33" s="516">
        <f>I33*1.67</f>
        <v>45.089999999999996</v>
      </c>
      <c r="L33" s="333" t="s">
        <v>196</v>
      </c>
      <c r="M33" s="508">
        <f>K30+K31+K32+K33</f>
        <v>467.91989999999998</v>
      </c>
      <c r="N33" s="344" t="s">
        <v>196</v>
      </c>
      <c r="O33" s="337"/>
      <c r="P33" s="671"/>
      <c r="Q33" s="672"/>
      <c r="R33" s="673"/>
    </row>
    <row r="34" spans="1:18" x14ac:dyDescent="0.2">
      <c r="A34" s="668"/>
      <c r="B34" s="669"/>
      <c r="C34" s="670"/>
      <c r="D34" s="22"/>
      <c r="E34" s="330"/>
      <c r="F34" s="331"/>
      <c r="G34" s="332"/>
      <c r="H34" s="333"/>
      <c r="I34" s="485"/>
      <c r="J34" s="333"/>
      <c r="K34" s="516"/>
      <c r="L34" s="333"/>
      <c r="M34" s="508"/>
      <c r="N34" s="344"/>
      <c r="O34" s="337"/>
      <c r="P34" s="330"/>
      <c r="Q34" s="332"/>
      <c r="R34" s="518"/>
    </row>
    <row r="35" spans="1:18" x14ac:dyDescent="0.2">
      <c r="A35" s="694" t="s">
        <v>185</v>
      </c>
      <c r="B35" s="695"/>
      <c r="C35" s="696"/>
      <c r="D35" s="338" t="s">
        <v>200</v>
      </c>
      <c r="E35" s="330"/>
      <c r="F35" s="331"/>
      <c r="G35" s="332"/>
      <c r="H35" s="333"/>
      <c r="I35" s="485"/>
      <c r="J35" s="333"/>
      <c r="K35" s="516"/>
      <c r="L35" s="333"/>
      <c r="M35" s="508"/>
      <c r="N35" s="344"/>
      <c r="O35" s="337"/>
      <c r="P35" s="671"/>
      <c r="Q35" s="672"/>
      <c r="R35" s="673"/>
    </row>
    <row r="36" spans="1:18" x14ac:dyDescent="0.2">
      <c r="A36" s="668" t="s">
        <v>190</v>
      </c>
      <c r="B36" s="669"/>
      <c r="C36" s="670"/>
      <c r="D36" s="338"/>
      <c r="E36" s="330">
        <v>27</v>
      </c>
      <c r="F36" s="331"/>
      <c r="G36" s="332"/>
      <c r="H36" s="333">
        <v>6</v>
      </c>
      <c r="I36" s="485">
        <f t="shared" si="0"/>
        <v>162</v>
      </c>
      <c r="J36" s="333" t="s">
        <v>195</v>
      </c>
      <c r="K36" s="73">
        <f>I36*0.67</f>
        <v>108.54</v>
      </c>
      <c r="L36" s="333" t="s">
        <v>196</v>
      </c>
      <c r="M36" s="508"/>
      <c r="N36" s="33"/>
      <c r="O36" s="337"/>
      <c r="P36" s="671"/>
      <c r="Q36" s="672"/>
      <c r="R36" s="673"/>
    </row>
    <row r="37" spans="1:18" x14ac:dyDescent="0.2">
      <c r="A37" s="609" t="s">
        <v>192</v>
      </c>
      <c r="B37" s="610"/>
      <c r="C37" s="611"/>
      <c r="D37" s="338"/>
      <c r="E37" s="330">
        <v>26.67</v>
      </c>
      <c r="F37" s="331"/>
      <c r="G37" s="332"/>
      <c r="H37" s="333">
        <v>6</v>
      </c>
      <c r="I37" s="485">
        <f t="shared" si="0"/>
        <v>160.02000000000001</v>
      </c>
      <c r="J37" s="333" t="s">
        <v>195</v>
      </c>
      <c r="K37" s="516">
        <f>I37*1</f>
        <v>160.02000000000001</v>
      </c>
      <c r="L37" s="333" t="s">
        <v>196</v>
      </c>
      <c r="M37" s="508"/>
      <c r="N37" s="344"/>
      <c r="O37" s="337"/>
      <c r="P37" s="671"/>
      <c r="Q37" s="672"/>
      <c r="R37" s="673"/>
    </row>
    <row r="38" spans="1:18" x14ac:dyDescent="0.2">
      <c r="A38" s="609" t="s">
        <v>191</v>
      </c>
      <c r="B38" s="610"/>
      <c r="C38" s="611"/>
      <c r="D38" s="338"/>
      <c r="E38" s="330">
        <v>1.67</v>
      </c>
      <c r="F38" s="331"/>
      <c r="G38" s="332"/>
      <c r="H38" s="333">
        <v>6</v>
      </c>
      <c r="I38" s="485">
        <f t="shared" si="0"/>
        <v>10.02</v>
      </c>
      <c r="J38" s="333" t="s">
        <v>195</v>
      </c>
      <c r="K38" s="516">
        <f>I38*1.33</f>
        <v>13.326600000000001</v>
      </c>
      <c r="L38" s="333" t="s">
        <v>196</v>
      </c>
      <c r="M38" s="508"/>
      <c r="N38" s="344"/>
      <c r="O38" s="337"/>
      <c r="P38" s="671"/>
      <c r="Q38" s="672"/>
      <c r="R38" s="673"/>
    </row>
    <row r="39" spans="1:18" x14ac:dyDescent="0.2">
      <c r="A39" s="609" t="s">
        <v>201</v>
      </c>
      <c r="B39" s="610"/>
      <c r="C39" s="611"/>
      <c r="D39" s="338"/>
      <c r="E39" s="330">
        <v>3</v>
      </c>
      <c r="F39" s="331"/>
      <c r="G39" s="332"/>
      <c r="H39" s="333">
        <v>6</v>
      </c>
      <c r="I39" s="485">
        <f t="shared" si="0"/>
        <v>18</v>
      </c>
      <c r="J39" s="333" t="s">
        <v>195</v>
      </c>
      <c r="K39" s="516">
        <f>I39*1.67</f>
        <v>30.06</v>
      </c>
      <c r="L39" s="333" t="s">
        <v>196</v>
      </c>
      <c r="M39" s="508">
        <f>K36+K37+K38+K39</f>
        <v>311.94659999999999</v>
      </c>
      <c r="N39" s="344" t="s">
        <v>196</v>
      </c>
      <c r="O39" s="337"/>
      <c r="P39" s="671"/>
      <c r="Q39" s="672"/>
      <c r="R39" s="673"/>
    </row>
    <row r="40" spans="1:18" x14ac:dyDescent="0.2">
      <c r="A40" s="772"/>
      <c r="B40" s="773"/>
      <c r="C40" s="774"/>
      <c r="D40" s="338"/>
      <c r="E40" s="330"/>
      <c r="F40" s="331"/>
      <c r="G40" s="332"/>
      <c r="H40" s="333"/>
      <c r="I40" s="485"/>
      <c r="J40" s="333"/>
      <c r="K40" s="515"/>
      <c r="L40" s="333"/>
      <c r="M40" s="508"/>
      <c r="N40" s="344"/>
      <c r="O40" s="337"/>
      <c r="P40" s="330"/>
      <c r="Q40" s="332"/>
      <c r="R40" s="518"/>
    </row>
    <row r="41" spans="1:18" x14ac:dyDescent="0.2">
      <c r="A41" s="694" t="s">
        <v>186</v>
      </c>
      <c r="B41" s="695"/>
      <c r="C41" s="696"/>
      <c r="D41" s="338" t="s">
        <v>200</v>
      </c>
      <c r="E41" s="330"/>
      <c r="F41" s="331"/>
      <c r="G41" s="332"/>
      <c r="H41" s="333"/>
      <c r="I41" s="485"/>
      <c r="J41" s="333"/>
      <c r="K41" s="515"/>
      <c r="L41" s="333"/>
      <c r="M41" s="508"/>
      <c r="N41" s="344"/>
      <c r="O41" s="337"/>
      <c r="P41" s="671"/>
      <c r="Q41" s="672"/>
      <c r="R41" s="673"/>
    </row>
    <row r="42" spans="1:18" x14ac:dyDescent="0.2">
      <c r="A42" s="668" t="s">
        <v>190</v>
      </c>
      <c r="B42" s="669"/>
      <c r="C42" s="670"/>
      <c r="D42" s="338"/>
      <c r="E42" s="330">
        <v>27</v>
      </c>
      <c r="F42" s="331"/>
      <c r="G42" s="332"/>
      <c r="H42" s="333">
        <v>5</v>
      </c>
      <c r="I42" s="485">
        <f t="shared" si="0"/>
        <v>135</v>
      </c>
      <c r="J42" s="333" t="s">
        <v>195</v>
      </c>
      <c r="K42" s="516">
        <f>I42*0.67</f>
        <v>90.45</v>
      </c>
      <c r="L42" s="333" t="s">
        <v>196</v>
      </c>
      <c r="M42" s="508"/>
      <c r="N42" s="344"/>
      <c r="O42" s="337"/>
      <c r="P42" s="671"/>
      <c r="Q42" s="672"/>
      <c r="R42" s="673"/>
    </row>
    <row r="43" spans="1:18" x14ac:dyDescent="0.2">
      <c r="A43" s="609" t="s">
        <v>192</v>
      </c>
      <c r="B43" s="610"/>
      <c r="C43" s="611"/>
      <c r="D43" s="338"/>
      <c r="E43" s="330">
        <v>26.67</v>
      </c>
      <c r="F43" s="331"/>
      <c r="G43" s="332"/>
      <c r="H43" s="333">
        <v>5</v>
      </c>
      <c r="I43" s="485">
        <f t="shared" si="0"/>
        <v>133.35000000000002</v>
      </c>
      <c r="J43" s="333" t="s">
        <v>195</v>
      </c>
      <c r="K43" s="516">
        <f>I43*1</f>
        <v>133.35000000000002</v>
      </c>
      <c r="L43" s="333" t="s">
        <v>196</v>
      </c>
      <c r="M43" s="508"/>
      <c r="N43" s="344"/>
      <c r="O43" s="337"/>
      <c r="P43" s="671"/>
      <c r="Q43" s="672"/>
      <c r="R43" s="673"/>
    </row>
    <row r="44" spans="1:18" x14ac:dyDescent="0.2">
      <c r="A44" s="609" t="s">
        <v>191</v>
      </c>
      <c r="B44" s="610"/>
      <c r="C44" s="611"/>
      <c r="D44" s="338"/>
      <c r="E44" s="330">
        <v>1.67</v>
      </c>
      <c r="F44" s="331"/>
      <c r="G44" s="332"/>
      <c r="H44" s="333">
        <v>5</v>
      </c>
      <c r="I44" s="485">
        <f t="shared" si="0"/>
        <v>8.35</v>
      </c>
      <c r="J44" s="333" t="s">
        <v>195</v>
      </c>
      <c r="K44" s="516">
        <f>I44*1.33</f>
        <v>11.105499999999999</v>
      </c>
      <c r="L44" s="333" t="s">
        <v>196</v>
      </c>
      <c r="M44" s="508"/>
      <c r="N44" s="344"/>
      <c r="O44" s="337"/>
      <c r="P44" s="671"/>
      <c r="Q44" s="672"/>
      <c r="R44" s="673"/>
    </row>
    <row r="45" spans="1:18" x14ac:dyDescent="0.2">
      <c r="A45" s="668" t="s">
        <v>201</v>
      </c>
      <c r="B45" s="669"/>
      <c r="C45" s="670"/>
      <c r="D45" s="338"/>
      <c r="E45" s="330">
        <v>3</v>
      </c>
      <c r="F45" s="331"/>
      <c r="G45" s="332"/>
      <c r="H45" s="333">
        <v>5</v>
      </c>
      <c r="I45" s="485">
        <f t="shared" si="0"/>
        <v>15</v>
      </c>
      <c r="J45" s="333" t="s">
        <v>195</v>
      </c>
      <c r="K45" s="516">
        <f>I45*1.67</f>
        <v>25.049999999999997</v>
      </c>
      <c r="L45" s="333" t="s">
        <v>196</v>
      </c>
      <c r="M45" s="508">
        <f>K42+K43+K44+K45</f>
        <v>259.95550000000003</v>
      </c>
      <c r="N45" s="344" t="s">
        <v>196</v>
      </c>
      <c r="O45" s="337"/>
      <c r="P45" s="671"/>
      <c r="Q45" s="672"/>
      <c r="R45" s="673"/>
    </row>
    <row r="46" spans="1:18" x14ac:dyDescent="0.2">
      <c r="A46" s="775"/>
      <c r="B46" s="717"/>
      <c r="C46" s="718"/>
      <c r="D46" s="338"/>
      <c r="E46" s="330"/>
      <c r="F46" s="331"/>
      <c r="G46" s="332"/>
      <c r="H46" s="333"/>
      <c r="I46" s="485"/>
      <c r="J46" s="333"/>
      <c r="K46" s="515"/>
      <c r="L46" s="333"/>
      <c r="M46" s="508"/>
      <c r="N46" s="344"/>
      <c r="O46" s="337"/>
      <c r="P46" s="330"/>
      <c r="Q46" s="332"/>
      <c r="R46" s="518"/>
    </row>
    <row r="47" spans="1:18" x14ac:dyDescent="0.2">
      <c r="A47" s="694" t="s">
        <v>187</v>
      </c>
      <c r="B47" s="695"/>
      <c r="C47" s="696"/>
      <c r="D47" s="338" t="s">
        <v>202</v>
      </c>
      <c r="E47" s="330"/>
      <c r="F47" s="331"/>
      <c r="G47" s="332"/>
      <c r="H47" s="333"/>
      <c r="I47" s="485"/>
      <c r="J47" s="333"/>
      <c r="K47" s="515"/>
      <c r="L47" s="333"/>
      <c r="M47" s="508"/>
      <c r="N47" s="344"/>
      <c r="O47" s="337"/>
      <c r="P47" s="671"/>
      <c r="Q47" s="672"/>
      <c r="R47" s="673"/>
    </row>
    <row r="48" spans="1:18" x14ac:dyDescent="0.2">
      <c r="A48" s="668" t="s">
        <v>190</v>
      </c>
      <c r="B48" s="669"/>
      <c r="C48" s="670"/>
      <c r="D48" s="338"/>
      <c r="E48" s="330">
        <v>28</v>
      </c>
      <c r="F48" s="331"/>
      <c r="G48" s="332"/>
      <c r="H48" s="333">
        <v>10</v>
      </c>
      <c r="I48" s="485">
        <f t="shared" si="0"/>
        <v>280</v>
      </c>
      <c r="J48" s="333" t="s">
        <v>195</v>
      </c>
      <c r="K48" s="515">
        <f>I48*0.67</f>
        <v>187.60000000000002</v>
      </c>
      <c r="L48" s="333" t="s">
        <v>196</v>
      </c>
      <c r="M48" s="508"/>
      <c r="N48" s="344"/>
      <c r="O48" s="337"/>
      <c r="P48" s="671"/>
      <c r="Q48" s="672"/>
      <c r="R48" s="673"/>
    </row>
    <row r="49" spans="1:18" x14ac:dyDescent="0.2">
      <c r="A49" s="609" t="s">
        <v>192</v>
      </c>
      <c r="B49" s="610"/>
      <c r="C49" s="611"/>
      <c r="D49" s="338"/>
      <c r="E49" s="330">
        <v>26.75</v>
      </c>
      <c r="F49" s="331"/>
      <c r="G49" s="332"/>
      <c r="H49" s="333">
        <v>10</v>
      </c>
      <c r="I49" s="485">
        <f t="shared" si="0"/>
        <v>267.5</v>
      </c>
      <c r="J49" s="333" t="s">
        <v>195</v>
      </c>
      <c r="K49" s="515">
        <f>I49*1</f>
        <v>267.5</v>
      </c>
      <c r="L49" s="333" t="s">
        <v>196</v>
      </c>
      <c r="M49" s="508"/>
      <c r="N49" s="344"/>
      <c r="O49" s="337"/>
      <c r="P49" s="671"/>
      <c r="Q49" s="672"/>
      <c r="R49" s="673"/>
    </row>
    <row r="50" spans="1:18" x14ac:dyDescent="0.2">
      <c r="A50" s="609" t="s">
        <v>191</v>
      </c>
      <c r="B50" s="610"/>
      <c r="C50" s="611"/>
      <c r="D50" s="338"/>
      <c r="E50" s="330">
        <v>1</v>
      </c>
      <c r="F50" s="331"/>
      <c r="G50" s="332"/>
      <c r="H50" s="333">
        <v>10</v>
      </c>
      <c r="I50" s="485">
        <f t="shared" si="0"/>
        <v>10</v>
      </c>
      <c r="J50" s="333" t="s">
        <v>195</v>
      </c>
      <c r="K50" s="515">
        <f>I50*1.33</f>
        <v>13.3</v>
      </c>
      <c r="L50" s="333" t="s">
        <v>196</v>
      </c>
      <c r="M50" s="508"/>
      <c r="N50" s="344"/>
      <c r="O50" s="337"/>
      <c r="P50" s="671"/>
      <c r="Q50" s="672"/>
      <c r="R50" s="673"/>
    </row>
    <row r="51" spans="1:18" x14ac:dyDescent="0.2">
      <c r="A51" s="668" t="s">
        <v>201</v>
      </c>
      <c r="B51" s="669"/>
      <c r="C51" s="670"/>
      <c r="D51" s="338"/>
      <c r="E51" s="330">
        <v>3</v>
      </c>
      <c r="F51" s="331"/>
      <c r="G51" s="332"/>
      <c r="H51" s="333">
        <v>10</v>
      </c>
      <c r="I51" s="485">
        <f t="shared" si="0"/>
        <v>30</v>
      </c>
      <c r="J51" s="333" t="s">
        <v>195</v>
      </c>
      <c r="K51" s="515">
        <f>I51*1.67</f>
        <v>50.099999999999994</v>
      </c>
      <c r="L51" s="333" t="s">
        <v>196</v>
      </c>
      <c r="M51" s="508">
        <f>K48+K49+K50+K51</f>
        <v>518.5</v>
      </c>
      <c r="N51" s="344" t="s">
        <v>196</v>
      </c>
      <c r="O51" s="337"/>
      <c r="P51" s="671"/>
      <c r="Q51" s="672"/>
      <c r="R51" s="673"/>
    </row>
    <row r="52" spans="1:18" x14ac:dyDescent="0.2">
      <c r="A52" s="775"/>
      <c r="B52" s="717"/>
      <c r="C52" s="718"/>
      <c r="D52" s="338"/>
      <c r="E52" s="330"/>
      <c r="F52" s="331"/>
      <c r="G52" s="332"/>
      <c r="H52" s="333"/>
      <c r="I52" s="485"/>
      <c r="J52" s="333"/>
      <c r="K52" s="515"/>
      <c r="L52" s="333" t="s">
        <v>196</v>
      </c>
      <c r="M52" s="508"/>
      <c r="N52" s="344"/>
      <c r="O52" s="337"/>
      <c r="P52" s="330"/>
      <c r="Q52" s="332"/>
      <c r="R52" s="518"/>
    </row>
    <row r="53" spans="1:18" x14ac:dyDescent="0.2">
      <c r="A53" s="694" t="s">
        <v>193</v>
      </c>
      <c r="B53" s="695"/>
      <c r="C53" s="696"/>
      <c r="D53" s="338" t="s">
        <v>202</v>
      </c>
      <c r="E53" s="330"/>
      <c r="F53" s="331"/>
      <c r="G53" s="332"/>
      <c r="H53" s="333"/>
      <c r="I53" s="485"/>
      <c r="J53" s="333"/>
      <c r="K53" s="515"/>
      <c r="L53" s="333"/>
      <c r="M53" s="508"/>
      <c r="N53" s="344"/>
      <c r="O53" s="337"/>
      <c r="P53" s="671"/>
      <c r="Q53" s="672"/>
      <c r="R53" s="673"/>
    </row>
    <row r="54" spans="1:18" x14ac:dyDescent="0.2">
      <c r="A54" s="668" t="s">
        <v>190</v>
      </c>
      <c r="B54" s="669"/>
      <c r="C54" s="670"/>
      <c r="D54" s="338"/>
      <c r="E54" s="330">
        <v>28</v>
      </c>
      <c r="F54" s="331"/>
      <c r="G54" s="281"/>
      <c r="H54" s="333">
        <v>4</v>
      </c>
      <c r="I54" s="485">
        <f t="shared" si="0"/>
        <v>112</v>
      </c>
      <c r="J54" s="333" t="s">
        <v>195</v>
      </c>
      <c r="K54" s="515">
        <f>I54*0.67</f>
        <v>75.040000000000006</v>
      </c>
      <c r="L54" s="333" t="s">
        <v>196</v>
      </c>
      <c r="M54" s="508"/>
      <c r="N54" s="344"/>
      <c r="O54" s="337"/>
      <c r="P54" s="671"/>
      <c r="Q54" s="672"/>
      <c r="R54" s="673"/>
    </row>
    <row r="55" spans="1:18" x14ac:dyDescent="0.2">
      <c r="A55" s="609" t="s">
        <v>192</v>
      </c>
      <c r="B55" s="610"/>
      <c r="C55" s="611"/>
      <c r="D55" s="338"/>
      <c r="E55" s="330">
        <v>26.75</v>
      </c>
      <c r="F55" s="331"/>
      <c r="G55" s="332"/>
      <c r="H55" s="333">
        <v>4</v>
      </c>
      <c r="I55" s="485">
        <f t="shared" si="0"/>
        <v>107</v>
      </c>
      <c r="J55" s="333" t="s">
        <v>195</v>
      </c>
      <c r="K55" s="515">
        <f>I55*1</f>
        <v>107</v>
      </c>
      <c r="L55" s="333" t="s">
        <v>196</v>
      </c>
      <c r="M55" s="508"/>
      <c r="N55" s="344"/>
      <c r="O55" s="337"/>
      <c r="P55" s="671"/>
      <c r="Q55" s="672"/>
      <c r="R55" s="673"/>
    </row>
    <row r="56" spans="1:18" x14ac:dyDescent="0.2">
      <c r="A56" s="609" t="s">
        <v>191</v>
      </c>
      <c r="B56" s="610"/>
      <c r="C56" s="611"/>
      <c r="D56" s="338"/>
      <c r="E56" s="330">
        <v>1</v>
      </c>
      <c r="F56" s="331"/>
      <c r="G56" s="332"/>
      <c r="H56" s="333">
        <v>4</v>
      </c>
      <c r="I56" s="485">
        <f t="shared" si="0"/>
        <v>4</v>
      </c>
      <c r="J56" s="333" t="s">
        <v>195</v>
      </c>
      <c r="K56" s="515">
        <f>I56*1.33</f>
        <v>5.32</v>
      </c>
      <c r="L56" s="333" t="s">
        <v>196</v>
      </c>
      <c r="M56" s="508"/>
      <c r="N56" s="344"/>
      <c r="O56" s="337"/>
      <c r="P56" s="671"/>
      <c r="Q56" s="672"/>
      <c r="R56" s="673"/>
    </row>
    <row r="57" spans="1:18" x14ac:dyDescent="0.2">
      <c r="A57" s="668" t="s">
        <v>201</v>
      </c>
      <c r="B57" s="669"/>
      <c r="C57" s="670"/>
      <c r="D57" s="338"/>
      <c r="E57" s="330">
        <v>3</v>
      </c>
      <c r="F57" s="331"/>
      <c r="G57" s="332"/>
      <c r="H57" s="333">
        <v>4</v>
      </c>
      <c r="I57" s="485">
        <f t="shared" si="0"/>
        <v>12</v>
      </c>
      <c r="J57" s="333" t="s">
        <v>195</v>
      </c>
      <c r="K57" s="519">
        <f>I57*1.67</f>
        <v>20.04</v>
      </c>
      <c r="L57" s="333" t="s">
        <v>196</v>
      </c>
      <c r="M57" s="504">
        <f>K54+K55+K56+K57</f>
        <v>207.4</v>
      </c>
      <c r="N57" s="336" t="s">
        <v>196</v>
      </c>
      <c r="O57" s="337"/>
      <c r="P57" s="671"/>
      <c r="Q57" s="672"/>
      <c r="R57" s="673"/>
    </row>
    <row r="58" spans="1:18" x14ac:dyDescent="0.2">
      <c r="A58" s="668"/>
      <c r="B58" s="669"/>
      <c r="C58" s="670"/>
      <c r="D58" s="338"/>
      <c r="E58" s="330"/>
      <c r="F58" s="331"/>
      <c r="G58" s="332"/>
      <c r="H58" s="333"/>
      <c r="I58" s="330"/>
      <c r="J58" s="333"/>
      <c r="K58" s="71"/>
      <c r="L58" s="333"/>
      <c r="M58" s="341"/>
      <c r="N58" s="33"/>
      <c r="O58" s="337"/>
      <c r="P58" s="671"/>
      <c r="Q58" s="672"/>
      <c r="R58" s="673"/>
    </row>
    <row r="59" spans="1:18" x14ac:dyDescent="0.2">
      <c r="A59" s="716" t="s">
        <v>203</v>
      </c>
      <c r="B59" s="701"/>
      <c r="C59" s="702"/>
      <c r="D59" s="338"/>
      <c r="E59" s="330"/>
      <c r="F59" s="331"/>
      <c r="G59" s="332"/>
      <c r="H59" s="333"/>
      <c r="I59" s="330"/>
      <c r="J59" s="333"/>
      <c r="K59" s="515"/>
      <c r="L59" s="333"/>
      <c r="M59" s="504">
        <f>SUM(M12:M58)</f>
        <v>4640.2572999999993</v>
      </c>
      <c r="N59" s="336" t="s">
        <v>196</v>
      </c>
      <c r="O59" s="337"/>
      <c r="P59" s="671"/>
      <c r="Q59" s="672"/>
      <c r="R59" s="673"/>
    </row>
    <row r="60" spans="1:18" x14ac:dyDescent="0.2">
      <c r="A60" s="609"/>
      <c r="B60" s="610"/>
      <c r="C60" s="611"/>
      <c r="D60" s="338"/>
      <c r="E60" s="330"/>
      <c r="F60" s="331"/>
      <c r="G60" s="332"/>
      <c r="H60" s="333"/>
      <c r="I60" s="330"/>
      <c r="J60" s="333"/>
      <c r="K60" s="515"/>
      <c r="L60" s="333"/>
      <c r="M60" s="343"/>
      <c r="N60" s="344"/>
      <c r="O60" s="337"/>
      <c r="P60" s="671"/>
      <c r="Q60" s="672"/>
      <c r="R60" s="673"/>
    </row>
    <row r="61" spans="1:18" ht="15" x14ac:dyDescent="0.25">
      <c r="A61" s="691" t="s">
        <v>204</v>
      </c>
      <c r="B61" s="692"/>
      <c r="C61" s="693"/>
      <c r="D61" s="22"/>
      <c r="E61" s="330"/>
      <c r="F61" s="331"/>
      <c r="G61" s="332"/>
      <c r="H61" s="333"/>
      <c r="I61" s="330">
        <v>10036</v>
      </c>
      <c r="J61" s="24" t="s">
        <v>42</v>
      </c>
      <c r="K61" s="515"/>
      <c r="L61" s="333"/>
      <c r="M61" s="339">
        <f>I61</f>
        <v>10036</v>
      </c>
      <c r="N61" s="336" t="s">
        <v>42</v>
      </c>
      <c r="O61" s="570" t="s">
        <v>749</v>
      </c>
      <c r="P61" s="671"/>
      <c r="Q61" s="672"/>
      <c r="R61" s="673"/>
    </row>
    <row r="62" spans="1:18" x14ac:dyDescent="0.2">
      <c r="A62" s="668"/>
      <c r="B62" s="669"/>
      <c r="C62" s="670"/>
      <c r="D62" s="338"/>
      <c r="E62" s="330"/>
      <c r="F62" s="331"/>
      <c r="G62" s="332"/>
      <c r="H62" s="333"/>
      <c r="I62" s="347"/>
      <c r="J62" s="333"/>
      <c r="K62" s="515"/>
      <c r="L62" s="333"/>
      <c r="M62" s="343"/>
      <c r="N62" s="344"/>
      <c r="O62" s="337"/>
      <c r="P62" s="671"/>
      <c r="Q62" s="672"/>
      <c r="R62" s="673"/>
    </row>
    <row r="63" spans="1:18" ht="15" x14ac:dyDescent="0.25">
      <c r="A63" s="694" t="s">
        <v>205</v>
      </c>
      <c r="B63" s="695"/>
      <c r="C63" s="696"/>
      <c r="D63" s="338"/>
      <c r="E63" s="330"/>
      <c r="F63" s="331"/>
      <c r="G63" s="332"/>
      <c r="H63" s="333"/>
      <c r="I63" s="470">
        <f>(E85+E86)*(G85+G86)</f>
        <v>8301.78947368421</v>
      </c>
      <c r="J63" s="333" t="s">
        <v>42</v>
      </c>
      <c r="K63" s="519"/>
      <c r="L63" s="24"/>
      <c r="M63" s="504">
        <f>I63</f>
        <v>8301.78947368421</v>
      </c>
      <c r="N63" s="336" t="s">
        <v>42</v>
      </c>
      <c r="O63" s="570" t="s">
        <v>749</v>
      </c>
      <c r="P63" s="671"/>
      <c r="Q63" s="672"/>
      <c r="R63" s="673"/>
    </row>
    <row r="64" spans="1:18" x14ac:dyDescent="0.2">
      <c r="A64" s="689" t="s">
        <v>536</v>
      </c>
      <c r="B64" s="689"/>
      <c r="C64" s="690"/>
      <c r="D64" s="350"/>
      <c r="E64" s="334"/>
      <c r="F64" s="331"/>
      <c r="G64" s="331"/>
      <c r="H64" s="340"/>
      <c r="I64" s="330"/>
      <c r="J64" s="340"/>
      <c r="K64" s="71"/>
      <c r="L64" s="340"/>
      <c r="M64" s="351"/>
      <c r="N64" s="65"/>
      <c r="O64" s="352"/>
      <c r="P64" s="671" t="s">
        <v>537</v>
      </c>
      <c r="Q64" s="672"/>
      <c r="R64" s="673"/>
    </row>
    <row r="65" spans="1:18" x14ac:dyDescent="0.2">
      <c r="A65" s="680"/>
      <c r="B65" s="681"/>
      <c r="C65" s="682"/>
      <c r="D65" s="63"/>
      <c r="E65" s="323"/>
      <c r="F65" s="324"/>
      <c r="G65" s="325"/>
      <c r="H65" s="326"/>
      <c r="I65" s="323"/>
      <c r="J65" s="326"/>
      <c r="K65" s="520"/>
      <c r="L65" s="326"/>
      <c r="M65" s="323"/>
      <c r="N65" s="326"/>
      <c r="O65" s="329"/>
      <c r="P65" s="671"/>
      <c r="Q65" s="672"/>
      <c r="R65" s="673"/>
    </row>
    <row r="66" spans="1:18" x14ac:dyDescent="0.2">
      <c r="A66" s="668"/>
      <c r="B66" s="669"/>
      <c r="C66" s="670"/>
      <c r="D66" s="338"/>
      <c r="E66" s="330"/>
      <c r="F66" s="331"/>
      <c r="G66" s="332"/>
      <c r="H66" s="333"/>
      <c r="I66" s="330"/>
      <c r="J66" s="333"/>
      <c r="K66" s="515"/>
      <c r="L66" s="333"/>
      <c r="M66" s="330"/>
      <c r="N66" s="333"/>
      <c r="O66" s="337"/>
      <c r="P66" s="671"/>
      <c r="Q66" s="672"/>
      <c r="R66" s="673"/>
    </row>
    <row r="67" spans="1:18" ht="15" x14ac:dyDescent="0.25">
      <c r="A67" s="694" t="s">
        <v>207</v>
      </c>
      <c r="B67" s="695"/>
      <c r="C67" s="696"/>
      <c r="D67" s="564" t="s">
        <v>176</v>
      </c>
      <c r="E67" s="330"/>
      <c r="F67" s="331"/>
      <c r="G67" s="332"/>
      <c r="H67" s="333"/>
      <c r="I67" s="330"/>
      <c r="J67" s="333"/>
      <c r="K67" s="515"/>
      <c r="L67" s="333"/>
      <c r="M67" s="330"/>
      <c r="N67" s="333"/>
      <c r="O67" s="337"/>
      <c r="P67" s="671"/>
      <c r="Q67" s="672"/>
      <c r="R67" s="673"/>
    </row>
    <row r="68" spans="1:18" x14ac:dyDescent="0.2">
      <c r="A68" s="668" t="s">
        <v>208</v>
      </c>
      <c r="B68" s="669"/>
      <c r="C68" s="670"/>
      <c r="D68" s="338"/>
      <c r="E68" s="330">
        <v>22</v>
      </c>
      <c r="F68" s="331"/>
      <c r="G68" s="332"/>
      <c r="H68" s="333">
        <v>4</v>
      </c>
      <c r="I68" s="330">
        <f t="shared" ref="I68:I73" si="1">E68*H68</f>
        <v>88</v>
      </c>
      <c r="J68" s="333" t="s">
        <v>45</v>
      </c>
      <c r="K68" s="515">
        <f>I68*1</f>
        <v>88</v>
      </c>
      <c r="L68" s="24" t="s">
        <v>196</v>
      </c>
      <c r="M68" s="330"/>
      <c r="N68" s="333"/>
      <c r="O68" s="337"/>
      <c r="P68" s="671"/>
      <c r="Q68" s="672"/>
      <c r="R68" s="673"/>
    </row>
    <row r="69" spans="1:18" x14ac:dyDescent="0.2">
      <c r="A69" s="668" t="s">
        <v>209</v>
      </c>
      <c r="B69" s="669"/>
      <c r="C69" s="670"/>
      <c r="D69" s="338"/>
      <c r="E69" s="330">
        <v>82</v>
      </c>
      <c r="F69" s="331"/>
      <c r="G69" s="332"/>
      <c r="H69" s="333">
        <v>4</v>
      </c>
      <c r="I69" s="330">
        <f t="shared" si="1"/>
        <v>328</v>
      </c>
      <c r="J69" s="333" t="s">
        <v>45</v>
      </c>
      <c r="K69" s="71">
        <f>I69*1.33</f>
        <v>436.24</v>
      </c>
      <c r="L69" s="24" t="s">
        <v>196</v>
      </c>
      <c r="M69" s="341"/>
      <c r="N69" s="33"/>
      <c r="O69" s="283"/>
      <c r="P69" s="671"/>
      <c r="Q69" s="672"/>
      <c r="R69" s="673"/>
    </row>
    <row r="70" spans="1:18" x14ac:dyDescent="0.2">
      <c r="A70" s="668" t="s">
        <v>210</v>
      </c>
      <c r="B70" s="669"/>
      <c r="C70" s="670"/>
      <c r="D70" s="338"/>
      <c r="E70" s="330">
        <v>6</v>
      </c>
      <c r="F70" s="331"/>
      <c r="G70" s="332"/>
      <c r="H70" s="333">
        <v>5</v>
      </c>
      <c r="I70" s="330">
        <f t="shared" si="1"/>
        <v>30</v>
      </c>
      <c r="J70" s="333" t="s">
        <v>45</v>
      </c>
      <c r="K70" s="515">
        <f>I70*1.33</f>
        <v>39.900000000000006</v>
      </c>
      <c r="L70" s="24" t="s">
        <v>196</v>
      </c>
      <c r="M70" s="343"/>
      <c r="N70" s="344"/>
      <c r="O70" s="337"/>
      <c r="P70" s="671"/>
      <c r="Q70" s="672"/>
      <c r="R70" s="673"/>
    </row>
    <row r="71" spans="1:18" x14ac:dyDescent="0.2">
      <c r="A71" s="609" t="s">
        <v>211</v>
      </c>
      <c r="B71" s="610"/>
      <c r="C71" s="611"/>
      <c r="D71" s="338"/>
      <c r="E71" s="330">
        <v>21</v>
      </c>
      <c r="F71" s="331"/>
      <c r="G71" s="332"/>
      <c r="H71" s="333">
        <v>5</v>
      </c>
      <c r="I71" s="330">
        <f t="shared" si="1"/>
        <v>105</v>
      </c>
      <c r="J71" s="333" t="s">
        <v>45</v>
      </c>
      <c r="K71" s="515">
        <f>I71*1</f>
        <v>105</v>
      </c>
      <c r="L71" s="24" t="s">
        <v>196</v>
      </c>
      <c r="M71" s="343"/>
      <c r="N71" s="344"/>
      <c r="O71" s="337"/>
      <c r="P71" s="671"/>
      <c r="Q71" s="672"/>
      <c r="R71" s="673"/>
    </row>
    <row r="72" spans="1:18" x14ac:dyDescent="0.2">
      <c r="A72" s="609" t="s">
        <v>212</v>
      </c>
      <c r="B72" s="610"/>
      <c r="C72" s="611"/>
      <c r="D72" s="338"/>
      <c r="E72" s="330">
        <v>234</v>
      </c>
      <c r="F72" s="331"/>
      <c r="G72" s="332"/>
      <c r="H72" s="333">
        <v>3</v>
      </c>
      <c r="I72" s="330">
        <f t="shared" si="1"/>
        <v>702</v>
      </c>
      <c r="J72" s="333" t="s">
        <v>45</v>
      </c>
      <c r="K72" s="515">
        <f>I72*1.67</f>
        <v>1172.3399999999999</v>
      </c>
      <c r="L72" s="24" t="s">
        <v>196</v>
      </c>
      <c r="M72" s="343"/>
      <c r="N72" s="344"/>
      <c r="O72" s="337"/>
      <c r="P72" s="671"/>
      <c r="Q72" s="672"/>
      <c r="R72" s="673"/>
    </row>
    <row r="73" spans="1:18" x14ac:dyDescent="0.2">
      <c r="A73" s="668" t="s">
        <v>213</v>
      </c>
      <c r="B73" s="669"/>
      <c r="C73" s="670"/>
      <c r="D73" s="22"/>
      <c r="E73" s="330">
        <v>15</v>
      </c>
      <c r="F73" s="331"/>
      <c r="G73" s="332"/>
      <c r="H73" s="333">
        <v>4</v>
      </c>
      <c r="I73" s="330">
        <f t="shared" si="1"/>
        <v>60</v>
      </c>
      <c r="J73" s="24" t="s">
        <v>45</v>
      </c>
      <c r="K73" s="521">
        <f>I73*1.67</f>
        <v>100.19999999999999</v>
      </c>
      <c r="L73" s="24" t="s">
        <v>196</v>
      </c>
      <c r="M73" s="343"/>
      <c r="N73" s="344"/>
      <c r="O73" s="337"/>
      <c r="P73" s="671"/>
      <c r="Q73" s="672"/>
      <c r="R73" s="673"/>
    </row>
    <row r="74" spans="1:18" x14ac:dyDescent="0.2">
      <c r="A74" s="668" t="s">
        <v>214</v>
      </c>
      <c r="B74" s="669"/>
      <c r="C74" s="670"/>
      <c r="D74" s="22"/>
      <c r="E74" s="330"/>
      <c r="F74" s="331"/>
      <c r="G74" s="332"/>
      <c r="H74" s="333"/>
      <c r="I74" s="330"/>
      <c r="J74" s="333"/>
      <c r="K74" s="515">
        <v>100</v>
      </c>
      <c r="L74" s="333" t="s">
        <v>196</v>
      </c>
      <c r="M74" s="343"/>
      <c r="N74" s="344"/>
      <c r="O74" s="337"/>
      <c r="P74" s="671"/>
      <c r="Q74" s="672"/>
      <c r="R74" s="673"/>
    </row>
    <row r="75" spans="1:18" x14ac:dyDescent="0.2">
      <c r="A75" s="668" t="s">
        <v>215</v>
      </c>
      <c r="B75" s="669"/>
      <c r="C75" s="670"/>
      <c r="D75" s="338"/>
      <c r="E75" s="330"/>
      <c r="F75" s="331"/>
      <c r="G75" s="332"/>
      <c r="H75" s="333"/>
      <c r="I75" s="347"/>
      <c r="J75" s="333"/>
      <c r="K75" s="515">
        <v>500</v>
      </c>
      <c r="L75" s="333" t="s">
        <v>196</v>
      </c>
      <c r="M75" s="343"/>
      <c r="N75" s="344"/>
      <c r="O75" s="337"/>
      <c r="P75" s="671"/>
      <c r="Q75" s="672"/>
      <c r="R75" s="673"/>
    </row>
    <row r="76" spans="1:18" ht="15" x14ac:dyDescent="0.25">
      <c r="A76" s="744" t="s">
        <v>216</v>
      </c>
      <c r="B76" s="745"/>
      <c r="C76" s="746"/>
      <c r="D76" s="338"/>
      <c r="E76" s="330"/>
      <c r="F76" s="331"/>
      <c r="G76" s="332"/>
      <c r="H76" s="333"/>
      <c r="I76" s="330"/>
      <c r="J76" s="333"/>
      <c r="K76" s="515">
        <f>SUM(K68:K75)</f>
        <v>2541.6800000000003</v>
      </c>
      <c r="L76" s="333" t="s">
        <v>196</v>
      </c>
      <c r="M76" s="339">
        <f>K76</f>
        <v>2541.6800000000003</v>
      </c>
      <c r="N76" s="336" t="s">
        <v>196</v>
      </c>
      <c r="O76" s="570" t="s">
        <v>749</v>
      </c>
      <c r="P76" s="671"/>
      <c r="Q76" s="672"/>
      <c r="R76" s="673"/>
    </row>
    <row r="77" spans="1:18" x14ac:dyDescent="0.2">
      <c r="A77" s="668"/>
      <c r="B77" s="669"/>
      <c r="C77" s="670"/>
      <c r="D77" s="338"/>
      <c r="E77" s="330"/>
      <c r="F77" s="331"/>
      <c r="G77" s="332"/>
      <c r="H77" s="333"/>
      <c r="I77" s="330"/>
      <c r="J77" s="333"/>
      <c r="K77" s="515"/>
      <c r="L77" s="333"/>
      <c r="M77" s="343"/>
      <c r="N77" s="344"/>
      <c r="O77" s="337"/>
      <c r="P77" s="671"/>
      <c r="Q77" s="672"/>
      <c r="R77" s="673"/>
    </row>
    <row r="78" spans="1:18" x14ac:dyDescent="0.2">
      <c r="A78" s="694" t="s">
        <v>217</v>
      </c>
      <c r="B78" s="695"/>
      <c r="C78" s="696"/>
      <c r="D78" s="338" t="s">
        <v>176</v>
      </c>
      <c r="E78" s="330"/>
      <c r="F78" s="331"/>
      <c r="G78" s="332"/>
      <c r="H78" s="333"/>
      <c r="I78" s="330"/>
      <c r="J78" s="333"/>
      <c r="K78" s="515"/>
      <c r="L78" s="333"/>
      <c r="M78" s="343"/>
      <c r="N78" s="344"/>
      <c r="O78" s="337"/>
      <c r="P78" s="671"/>
      <c r="Q78" s="672"/>
      <c r="R78" s="673"/>
    </row>
    <row r="79" spans="1:18" x14ac:dyDescent="0.2">
      <c r="A79" s="668" t="s">
        <v>201</v>
      </c>
      <c r="B79" s="669"/>
      <c r="C79" s="670"/>
      <c r="D79" s="338"/>
      <c r="E79" s="330">
        <v>2016</v>
      </c>
      <c r="F79" s="331">
        <v>1.67</v>
      </c>
      <c r="G79" s="332"/>
      <c r="H79" s="333"/>
      <c r="I79" s="330">
        <f>E79*F79</f>
        <v>3366.72</v>
      </c>
      <c r="J79" s="333" t="s">
        <v>196</v>
      </c>
      <c r="K79" s="515"/>
      <c r="L79" s="333"/>
      <c r="M79" s="343"/>
      <c r="N79" s="344"/>
      <c r="O79" s="337"/>
      <c r="P79" s="671"/>
      <c r="Q79" s="672"/>
      <c r="R79" s="673"/>
    </row>
    <row r="80" spans="1:18" x14ac:dyDescent="0.2">
      <c r="A80" s="690" t="s">
        <v>218</v>
      </c>
      <c r="B80" s="669"/>
      <c r="C80" s="670"/>
      <c r="D80" s="348"/>
      <c r="E80" s="330">
        <v>283</v>
      </c>
      <c r="F80" s="331">
        <v>1</v>
      </c>
      <c r="G80" s="332"/>
      <c r="H80" s="333"/>
      <c r="I80" s="347">
        <f>E80*F80</f>
        <v>283</v>
      </c>
      <c r="J80" s="333" t="s">
        <v>196</v>
      </c>
      <c r="K80" s="515"/>
      <c r="L80" s="333"/>
      <c r="M80" s="343"/>
      <c r="N80" s="344"/>
      <c r="O80" s="337"/>
      <c r="P80" s="671"/>
      <c r="Q80" s="672"/>
      <c r="R80" s="673"/>
    </row>
    <row r="81" spans="1:18" x14ac:dyDescent="0.2">
      <c r="A81" s="690" t="s">
        <v>219</v>
      </c>
      <c r="B81" s="669"/>
      <c r="C81" s="670"/>
      <c r="D81" s="348"/>
      <c r="E81" s="330">
        <v>326</v>
      </c>
      <c r="F81" s="331">
        <v>1</v>
      </c>
      <c r="G81" s="332"/>
      <c r="H81" s="333"/>
      <c r="I81" s="330">
        <f>E81*F81</f>
        <v>326</v>
      </c>
      <c r="J81" s="333" t="s">
        <v>196</v>
      </c>
      <c r="K81" s="515"/>
      <c r="L81" s="333"/>
      <c r="M81" s="343"/>
      <c r="N81" s="344"/>
      <c r="O81" s="337"/>
      <c r="P81" s="671"/>
      <c r="Q81" s="672"/>
      <c r="R81" s="673"/>
    </row>
    <row r="82" spans="1:18" ht="15" x14ac:dyDescent="0.25">
      <c r="A82" s="700" t="s">
        <v>14</v>
      </c>
      <c r="B82" s="701"/>
      <c r="C82" s="702"/>
      <c r="D82" s="348"/>
      <c r="E82" s="330"/>
      <c r="F82" s="331"/>
      <c r="G82" s="332"/>
      <c r="H82" s="333"/>
      <c r="I82" s="330">
        <f>SUM(I79:I81)</f>
        <v>3975.72</v>
      </c>
      <c r="J82" s="333" t="s">
        <v>196</v>
      </c>
      <c r="K82" s="515"/>
      <c r="L82" s="333"/>
      <c r="M82" s="339">
        <f>I82</f>
        <v>3975.72</v>
      </c>
      <c r="N82" s="336" t="s">
        <v>196</v>
      </c>
      <c r="O82" s="570" t="s">
        <v>749</v>
      </c>
      <c r="P82" s="671"/>
      <c r="Q82" s="672"/>
      <c r="R82" s="673"/>
    </row>
    <row r="83" spans="1:18" x14ac:dyDescent="0.2">
      <c r="A83" s="690"/>
      <c r="B83" s="669"/>
      <c r="C83" s="670"/>
      <c r="D83" s="348"/>
      <c r="E83" s="330"/>
      <c r="F83" s="331"/>
      <c r="G83" s="332"/>
      <c r="H83" s="333"/>
      <c r="I83" s="330"/>
      <c r="J83" s="333"/>
      <c r="K83" s="515"/>
      <c r="L83" s="333"/>
      <c r="M83" s="343"/>
      <c r="N83" s="344"/>
      <c r="O83" s="337"/>
      <c r="P83" s="671"/>
      <c r="Q83" s="672"/>
      <c r="R83" s="673"/>
    </row>
    <row r="84" spans="1:18" x14ac:dyDescent="0.2">
      <c r="A84" s="703" t="s">
        <v>220</v>
      </c>
      <c r="B84" s="695"/>
      <c r="C84" s="696"/>
      <c r="D84" s="348"/>
      <c r="E84" s="330"/>
      <c r="F84" s="331"/>
      <c r="G84" s="332"/>
      <c r="H84" s="333"/>
      <c r="I84" s="330"/>
      <c r="J84" s="333"/>
      <c r="K84" s="515"/>
      <c r="L84" s="333"/>
      <c r="M84" s="343"/>
      <c r="N84" s="344"/>
      <c r="O84" s="337"/>
      <c r="P84" s="671"/>
      <c r="Q84" s="672"/>
      <c r="R84" s="673"/>
    </row>
    <row r="85" spans="1:18" x14ac:dyDescent="0.2">
      <c r="A85" s="690" t="s">
        <v>221</v>
      </c>
      <c r="B85" s="669"/>
      <c r="C85" s="670"/>
      <c r="D85" s="348"/>
      <c r="E85" s="485">
        <f>117/1.33</f>
        <v>87.969924812030072</v>
      </c>
      <c r="F85" s="331">
        <v>1.67</v>
      </c>
      <c r="G85" s="332">
        <v>26.67</v>
      </c>
      <c r="H85" s="333"/>
      <c r="I85" s="522">
        <f>G85*F85*E85</f>
        <v>3918.0836842105259</v>
      </c>
      <c r="J85" s="333" t="s">
        <v>196</v>
      </c>
      <c r="K85" s="515"/>
      <c r="L85" s="333"/>
      <c r="M85" s="343"/>
      <c r="N85" s="344"/>
      <c r="O85" s="337"/>
      <c r="P85" s="671"/>
      <c r="Q85" s="672"/>
      <c r="R85" s="673"/>
    </row>
    <row r="86" spans="1:18" x14ac:dyDescent="0.2">
      <c r="A86" s="690" t="s">
        <v>222</v>
      </c>
      <c r="B86" s="669"/>
      <c r="C86" s="670"/>
      <c r="D86" s="348"/>
      <c r="E86" s="485">
        <f>90/1.33</f>
        <v>67.669172932330824</v>
      </c>
      <c r="F86" s="331">
        <v>1.33</v>
      </c>
      <c r="G86" s="332">
        <v>26.67</v>
      </c>
      <c r="H86" s="333"/>
      <c r="I86" s="518">
        <f>G86*F86*E86</f>
        <v>2400.3000000000002</v>
      </c>
      <c r="J86" s="333" t="s">
        <v>196</v>
      </c>
      <c r="K86" s="515"/>
      <c r="L86" s="333"/>
      <c r="M86" s="343"/>
      <c r="N86" s="344"/>
      <c r="O86" s="337"/>
      <c r="P86" s="671"/>
      <c r="Q86" s="672"/>
      <c r="R86" s="673"/>
    </row>
    <row r="87" spans="1:18" x14ac:dyDescent="0.2">
      <c r="A87" s="771" t="s">
        <v>223</v>
      </c>
      <c r="B87" s="610"/>
      <c r="C87" s="611"/>
      <c r="D87" s="348"/>
      <c r="E87" s="330">
        <f>117*2</f>
        <v>234</v>
      </c>
      <c r="F87" s="331">
        <v>1.67</v>
      </c>
      <c r="G87" s="332"/>
      <c r="H87" s="333"/>
      <c r="I87" s="518">
        <f>F87*E87</f>
        <v>390.78</v>
      </c>
      <c r="J87" s="333" t="s">
        <v>196</v>
      </c>
      <c r="K87" s="515"/>
      <c r="L87" s="333"/>
      <c r="M87" s="343"/>
      <c r="N87" s="344"/>
      <c r="O87" s="337"/>
      <c r="P87" s="671"/>
      <c r="Q87" s="672"/>
      <c r="R87" s="673"/>
    </row>
    <row r="88" spans="1:18" x14ac:dyDescent="0.2">
      <c r="A88" s="690" t="s">
        <v>224</v>
      </c>
      <c r="B88" s="669"/>
      <c r="C88" s="670"/>
      <c r="D88" s="285"/>
      <c r="E88" s="330">
        <v>180</v>
      </c>
      <c r="F88" s="331">
        <v>1.33</v>
      </c>
      <c r="G88" s="332"/>
      <c r="H88" s="333"/>
      <c r="I88" s="518">
        <f>F88*E88</f>
        <v>239.4</v>
      </c>
      <c r="J88" s="333" t="s">
        <v>196</v>
      </c>
      <c r="K88" s="515"/>
      <c r="L88" s="333"/>
      <c r="M88" s="343"/>
      <c r="N88" s="344"/>
      <c r="O88" s="337"/>
      <c r="P88" s="671"/>
      <c r="Q88" s="672"/>
      <c r="R88" s="673"/>
    </row>
    <row r="89" spans="1:18" ht="15" x14ac:dyDescent="0.25">
      <c r="A89" s="668"/>
      <c r="B89" s="669"/>
      <c r="C89" s="670"/>
      <c r="D89" s="338"/>
      <c r="E89" s="330"/>
      <c r="F89" s="331"/>
      <c r="G89" s="332"/>
      <c r="H89" s="333"/>
      <c r="I89" s="522">
        <f>SUM(I85:I88)</f>
        <v>6948.5636842105259</v>
      </c>
      <c r="J89" s="333" t="s">
        <v>196</v>
      </c>
      <c r="K89" s="515"/>
      <c r="L89" s="24"/>
      <c r="M89" s="342">
        <f>I89</f>
        <v>6948.5636842105259</v>
      </c>
      <c r="N89" s="336" t="s">
        <v>196</v>
      </c>
      <c r="O89" s="570" t="s">
        <v>749</v>
      </c>
      <c r="P89" s="671"/>
      <c r="Q89" s="672"/>
      <c r="R89" s="673"/>
    </row>
    <row r="90" spans="1:18" x14ac:dyDescent="0.2">
      <c r="A90" s="694" t="s">
        <v>226</v>
      </c>
      <c r="B90" s="695"/>
      <c r="C90" s="696"/>
      <c r="D90" s="338"/>
      <c r="E90" s="330"/>
      <c r="F90" s="331"/>
      <c r="G90" s="332"/>
      <c r="H90" s="333"/>
      <c r="I90" s="330"/>
      <c r="J90" s="333"/>
      <c r="K90" s="71"/>
      <c r="L90" s="333"/>
      <c r="M90" s="341"/>
      <c r="N90" s="33"/>
      <c r="O90" s="337"/>
      <c r="P90" s="671"/>
      <c r="Q90" s="672"/>
      <c r="R90" s="673"/>
    </row>
    <row r="91" spans="1:18" ht="15" x14ac:dyDescent="0.25">
      <c r="A91" s="668" t="s">
        <v>227</v>
      </c>
      <c r="B91" s="669"/>
      <c r="C91" s="670"/>
      <c r="D91" s="338" t="s">
        <v>176</v>
      </c>
      <c r="E91" s="330">
        <v>422</v>
      </c>
      <c r="F91" s="331">
        <v>1</v>
      </c>
      <c r="G91" s="332"/>
      <c r="H91" s="333">
        <v>2</v>
      </c>
      <c r="I91" s="330">
        <f>H91*F91*E91</f>
        <v>844</v>
      </c>
      <c r="J91" s="333" t="s">
        <v>196</v>
      </c>
      <c r="K91" s="515"/>
      <c r="L91" s="333"/>
      <c r="M91" s="339">
        <f>I91</f>
        <v>844</v>
      </c>
      <c r="N91" s="336" t="s">
        <v>196</v>
      </c>
      <c r="O91" s="570" t="s">
        <v>749</v>
      </c>
      <c r="P91" s="671" t="s">
        <v>228</v>
      </c>
      <c r="Q91" s="672"/>
      <c r="R91" s="673"/>
    </row>
    <row r="92" spans="1:18" ht="15" x14ac:dyDescent="0.25">
      <c r="A92" s="609" t="s">
        <v>234</v>
      </c>
      <c r="B92" s="610"/>
      <c r="C92" s="611"/>
      <c r="D92" s="564" t="s">
        <v>733</v>
      </c>
      <c r="E92" s="330"/>
      <c r="F92" s="331"/>
      <c r="G92" s="332"/>
      <c r="H92" s="333"/>
      <c r="I92" s="330">
        <v>50</v>
      </c>
      <c r="J92" s="333" t="s">
        <v>196</v>
      </c>
      <c r="K92" s="515"/>
      <c r="L92" s="333"/>
      <c r="M92" s="343"/>
      <c r="N92" s="344"/>
      <c r="O92" s="337"/>
      <c r="P92" s="671"/>
      <c r="Q92" s="672"/>
      <c r="R92" s="673"/>
    </row>
    <row r="93" spans="1:18" ht="15" x14ac:dyDescent="0.25">
      <c r="A93" s="609" t="s">
        <v>543</v>
      </c>
      <c r="B93" s="610"/>
      <c r="C93" s="611"/>
      <c r="D93" s="338"/>
      <c r="E93" s="330"/>
      <c r="F93" s="331"/>
      <c r="G93" s="332"/>
      <c r="H93" s="333"/>
      <c r="I93" s="330"/>
      <c r="J93" s="333"/>
      <c r="K93" s="515"/>
      <c r="L93" s="333"/>
      <c r="M93" s="339">
        <v>1000</v>
      </c>
      <c r="N93" s="336" t="s">
        <v>196</v>
      </c>
      <c r="O93" s="570" t="s">
        <v>749</v>
      </c>
      <c r="P93" s="671" t="s">
        <v>544</v>
      </c>
      <c r="Q93" s="672"/>
      <c r="R93" s="673"/>
    </row>
    <row r="94" spans="1:18" x14ac:dyDescent="0.2">
      <c r="A94" s="668"/>
      <c r="B94" s="669"/>
      <c r="C94" s="670"/>
      <c r="D94" s="338"/>
      <c r="E94" s="330"/>
      <c r="F94" s="331"/>
      <c r="G94" s="332"/>
      <c r="H94" s="333"/>
      <c r="I94" s="347"/>
      <c r="J94" s="333"/>
      <c r="K94" s="515"/>
      <c r="L94" s="333"/>
      <c r="M94" s="343"/>
      <c r="N94" s="344"/>
      <c r="O94" s="337"/>
      <c r="P94" s="671"/>
      <c r="Q94" s="672"/>
      <c r="R94" s="673"/>
    </row>
    <row r="95" spans="1:18" x14ac:dyDescent="0.2">
      <c r="A95" s="668"/>
      <c r="B95" s="669"/>
      <c r="C95" s="670"/>
      <c r="D95" s="338"/>
      <c r="E95" s="330"/>
      <c r="F95" s="331"/>
      <c r="G95" s="332"/>
      <c r="H95" s="333"/>
      <c r="I95" s="330"/>
      <c r="J95" s="333"/>
      <c r="K95" s="515"/>
      <c r="L95" s="333"/>
      <c r="M95" s="343"/>
      <c r="N95" s="344"/>
      <c r="O95" s="337"/>
      <c r="P95" s="671"/>
      <c r="Q95" s="672"/>
      <c r="R95" s="673"/>
    </row>
    <row r="96" spans="1:18" ht="15" x14ac:dyDescent="0.25">
      <c r="A96" s="691" t="s">
        <v>284</v>
      </c>
      <c r="B96" s="692"/>
      <c r="C96" s="693"/>
      <c r="D96" s="338"/>
      <c r="E96" s="330"/>
      <c r="F96" s="331"/>
      <c r="G96" s="332"/>
      <c r="H96" s="333"/>
      <c r="I96" s="330">
        <v>3003</v>
      </c>
      <c r="J96" s="333" t="s">
        <v>42</v>
      </c>
      <c r="K96" s="515"/>
      <c r="L96" s="333"/>
      <c r="M96" s="339">
        <f>I96</f>
        <v>3003</v>
      </c>
      <c r="N96" s="336" t="s">
        <v>42</v>
      </c>
      <c r="O96" s="570" t="s">
        <v>749</v>
      </c>
      <c r="P96" s="671" t="s">
        <v>285</v>
      </c>
      <c r="Q96" s="672"/>
      <c r="R96" s="673"/>
    </row>
    <row r="97" spans="1:18" x14ac:dyDescent="0.2">
      <c r="A97" s="668"/>
      <c r="B97" s="669"/>
      <c r="C97" s="670"/>
      <c r="D97" s="338"/>
      <c r="E97" s="330"/>
      <c r="F97" s="331"/>
      <c r="G97" s="332"/>
      <c r="H97" s="333"/>
      <c r="I97" s="347"/>
      <c r="J97" s="333"/>
      <c r="K97" s="515"/>
      <c r="L97" s="333"/>
      <c r="M97" s="343"/>
      <c r="N97" s="344"/>
      <c r="O97" s="337"/>
      <c r="P97" s="671"/>
      <c r="Q97" s="672"/>
      <c r="R97" s="673"/>
    </row>
    <row r="98" spans="1:18" ht="15" x14ac:dyDescent="0.25">
      <c r="A98" s="694" t="s">
        <v>309</v>
      </c>
      <c r="B98" s="695"/>
      <c r="C98" s="696"/>
      <c r="D98" s="564" t="s">
        <v>732</v>
      </c>
      <c r="E98" s="330"/>
      <c r="F98" s="331"/>
      <c r="G98" s="332"/>
      <c r="H98" s="333"/>
      <c r="I98" s="347"/>
      <c r="J98" s="333"/>
      <c r="K98" s="515"/>
      <c r="L98" s="333"/>
      <c r="M98" s="343"/>
      <c r="N98" s="344"/>
      <c r="O98" s="337"/>
      <c r="P98" s="671"/>
      <c r="Q98" s="672"/>
      <c r="R98" s="673"/>
    </row>
    <row r="99" spans="1:18" ht="15" x14ac:dyDescent="0.25">
      <c r="A99" s="668" t="s">
        <v>310</v>
      </c>
      <c r="B99" s="669"/>
      <c r="C99" s="670"/>
      <c r="D99" s="338"/>
      <c r="E99" s="330"/>
      <c r="F99" s="331"/>
      <c r="G99" s="332"/>
      <c r="H99" s="333"/>
      <c r="I99" s="485">
        <f>Steel!G29*Steel!H29*0.6767</f>
        <v>4641.289057</v>
      </c>
      <c r="J99" s="333" t="s">
        <v>45</v>
      </c>
      <c r="K99" s="515"/>
      <c r="L99" s="333"/>
      <c r="M99" s="504">
        <f>I99</f>
        <v>4641.289057</v>
      </c>
      <c r="N99" s="336" t="s">
        <v>42</v>
      </c>
      <c r="O99" s="570" t="s">
        <v>749</v>
      </c>
      <c r="P99" s="671" t="s">
        <v>311</v>
      </c>
      <c r="Q99" s="672"/>
      <c r="R99" s="673"/>
    </row>
    <row r="100" spans="1:18" x14ac:dyDescent="0.2">
      <c r="A100" s="609" t="s">
        <v>309</v>
      </c>
      <c r="B100" s="610"/>
      <c r="C100" s="611"/>
      <c r="D100" s="338"/>
      <c r="E100" s="330"/>
      <c r="F100" s="331"/>
      <c r="G100" s="332"/>
      <c r="H100" s="333"/>
      <c r="I100" s="330">
        <f>184+174+77+36+200</f>
        <v>671</v>
      </c>
      <c r="J100" s="333" t="s">
        <v>45</v>
      </c>
      <c r="K100" s="515"/>
      <c r="L100" s="333"/>
      <c r="M100" s="339">
        <f>I100</f>
        <v>671</v>
      </c>
      <c r="N100" s="336" t="s">
        <v>45</v>
      </c>
      <c r="O100" s="337"/>
      <c r="P100" s="671" t="s">
        <v>312</v>
      </c>
      <c r="Q100" s="672"/>
      <c r="R100" s="673"/>
    </row>
    <row r="101" spans="1:18" x14ac:dyDescent="0.2">
      <c r="A101" s="668" t="s">
        <v>317</v>
      </c>
      <c r="B101" s="669"/>
      <c r="C101" s="670"/>
      <c r="D101" s="338"/>
      <c r="E101" s="330"/>
      <c r="F101" s="331"/>
      <c r="G101" s="332"/>
      <c r="H101" s="333"/>
      <c r="I101" s="485">
        <f>76+43+103+59+66</f>
        <v>347</v>
      </c>
      <c r="J101" s="24" t="s">
        <v>45</v>
      </c>
      <c r="K101" s="515"/>
      <c r="L101" s="333"/>
      <c r="M101" s="504">
        <f>I101</f>
        <v>347</v>
      </c>
      <c r="N101" s="336" t="s">
        <v>45</v>
      </c>
      <c r="O101" s="337"/>
      <c r="P101" s="671"/>
      <c r="Q101" s="672"/>
      <c r="R101" s="673"/>
    </row>
    <row r="102" spans="1:18" x14ac:dyDescent="0.2">
      <c r="A102" s="668"/>
      <c r="B102" s="669"/>
      <c r="C102" s="670"/>
      <c r="D102" s="338"/>
      <c r="E102" s="330"/>
      <c r="F102" s="331"/>
      <c r="G102" s="332"/>
      <c r="H102" s="333"/>
      <c r="I102" s="347"/>
      <c r="J102" s="333"/>
      <c r="K102" s="515"/>
      <c r="L102" s="333"/>
      <c r="M102" s="508">
        <f>SUM(M99:M101)</f>
        <v>5659.289057</v>
      </c>
      <c r="N102" s="344"/>
      <c r="O102" s="337"/>
      <c r="P102" s="671"/>
      <c r="Q102" s="672"/>
      <c r="R102" s="673"/>
    </row>
    <row r="103" spans="1:18" x14ac:dyDescent="0.2">
      <c r="A103" s="668"/>
      <c r="B103" s="669"/>
      <c r="C103" s="670"/>
      <c r="D103" s="338"/>
      <c r="E103" s="330"/>
      <c r="F103" s="331"/>
      <c r="G103" s="332"/>
      <c r="H103" s="333"/>
      <c r="I103" s="347"/>
      <c r="J103" s="333"/>
      <c r="K103" s="515"/>
      <c r="L103" s="333"/>
      <c r="M103" s="343"/>
      <c r="N103" s="344"/>
      <c r="O103" s="337"/>
      <c r="P103" s="671"/>
      <c r="Q103" s="672"/>
      <c r="R103" s="673"/>
    </row>
    <row r="104" spans="1:18" x14ac:dyDescent="0.2">
      <c r="A104" s="668"/>
      <c r="B104" s="669"/>
      <c r="C104" s="670"/>
      <c r="D104" s="338"/>
      <c r="E104" s="330"/>
      <c r="F104" s="331"/>
      <c r="G104" s="332"/>
      <c r="H104" s="333"/>
      <c r="I104" s="347"/>
      <c r="J104" s="333"/>
      <c r="K104" s="515"/>
      <c r="L104" s="333"/>
      <c r="M104" s="343"/>
      <c r="N104" s="344"/>
      <c r="O104" s="337"/>
      <c r="P104" s="671"/>
      <c r="Q104" s="672"/>
      <c r="R104" s="673"/>
    </row>
    <row r="105" spans="1:18" ht="15" x14ac:dyDescent="0.25">
      <c r="A105" s="694" t="s">
        <v>316</v>
      </c>
      <c r="B105" s="695"/>
      <c r="C105" s="696"/>
      <c r="D105" s="338" t="s">
        <v>732</v>
      </c>
      <c r="E105" s="330">
        <f>12+28</f>
        <v>40</v>
      </c>
      <c r="F105" s="331">
        <v>2.58</v>
      </c>
      <c r="G105" s="281"/>
      <c r="H105" s="333"/>
      <c r="I105" s="485">
        <f>E105*F105</f>
        <v>103.2</v>
      </c>
      <c r="J105" s="333" t="s">
        <v>42</v>
      </c>
      <c r="K105" s="515"/>
      <c r="L105" s="333"/>
      <c r="M105" s="504">
        <f>I105</f>
        <v>103.2</v>
      </c>
      <c r="N105" s="336" t="s">
        <v>42</v>
      </c>
      <c r="O105" s="570" t="s">
        <v>749</v>
      </c>
      <c r="P105" s="671"/>
      <c r="Q105" s="672"/>
      <c r="R105" s="673"/>
    </row>
    <row r="106" spans="1:18" x14ac:dyDescent="0.2">
      <c r="A106" s="609"/>
      <c r="B106" s="610"/>
      <c r="C106" s="611"/>
      <c r="D106" s="338"/>
      <c r="E106" s="330"/>
      <c r="F106" s="331"/>
      <c r="G106" s="332"/>
      <c r="H106" s="333"/>
      <c r="I106" s="330"/>
      <c r="J106" s="333"/>
      <c r="K106" s="515"/>
      <c r="L106" s="333"/>
      <c r="M106" s="343"/>
      <c r="N106" s="344"/>
      <c r="O106" s="337"/>
      <c r="P106" s="671"/>
      <c r="Q106" s="672"/>
      <c r="R106" s="673"/>
    </row>
    <row r="107" spans="1:18" ht="15" x14ac:dyDescent="0.25">
      <c r="A107" s="694" t="s">
        <v>321</v>
      </c>
      <c r="B107" s="695"/>
      <c r="C107" s="696"/>
      <c r="D107" s="338" t="s">
        <v>732</v>
      </c>
      <c r="E107" s="330">
        <f>56+65+9+19</f>
        <v>149</v>
      </c>
      <c r="F107" s="331">
        <v>1.67</v>
      </c>
      <c r="G107" s="332"/>
      <c r="H107" s="333"/>
      <c r="I107" s="485">
        <f>E107*F107</f>
        <v>248.82999999999998</v>
      </c>
      <c r="J107" s="333" t="s">
        <v>196</v>
      </c>
      <c r="K107" s="515"/>
      <c r="L107" s="333"/>
      <c r="M107" s="504">
        <f>I107</f>
        <v>248.82999999999998</v>
      </c>
      <c r="N107" s="336" t="s">
        <v>196</v>
      </c>
      <c r="O107" s="570" t="s">
        <v>749</v>
      </c>
      <c r="P107" s="671"/>
      <c r="Q107" s="672"/>
      <c r="R107" s="673"/>
    </row>
    <row r="108" spans="1:18" x14ac:dyDescent="0.2">
      <c r="A108" s="668"/>
      <c r="B108" s="669"/>
      <c r="C108" s="670"/>
      <c r="D108" s="338"/>
      <c r="E108" s="330"/>
      <c r="F108" s="331"/>
      <c r="G108" s="332"/>
      <c r="H108" s="333"/>
      <c r="I108" s="330"/>
      <c r="J108" s="333"/>
      <c r="K108" s="519"/>
      <c r="L108" s="24"/>
      <c r="M108" s="343"/>
      <c r="N108" s="344"/>
      <c r="O108" s="337"/>
      <c r="P108" s="671"/>
      <c r="Q108" s="672"/>
      <c r="R108" s="673"/>
    </row>
    <row r="109" spans="1:18" ht="15" x14ac:dyDescent="0.25">
      <c r="A109" s="694" t="s">
        <v>550</v>
      </c>
      <c r="B109" s="695"/>
      <c r="C109" s="696"/>
      <c r="D109" s="564" t="s">
        <v>734</v>
      </c>
      <c r="E109" s="330"/>
      <c r="F109" s="331"/>
      <c r="G109" s="332"/>
      <c r="H109" s="333"/>
      <c r="I109" s="330"/>
      <c r="J109" s="333"/>
      <c r="K109" s="71"/>
      <c r="L109" s="333"/>
      <c r="M109" s="335">
        <f>20</f>
        <v>20</v>
      </c>
      <c r="N109" s="70" t="s">
        <v>131</v>
      </c>
      <c r="O109" s="570" t="s">
        <v>749</v>
      </c>
      <c r="P109" s="671"/>
      <c r="Q109" s="672"/>
      <c r="R109" s="673"/>
    </row>
    <row r="110" spans="1:18" x14ac:dyDescent="0.2">
      <c r="A110" s="668"/>
      <c r="B110" s="669"/>
      <c r="C110" s="670"/>
      <c r="D110" s="338"/>
      <c r="E110" s="330"/>
      <c r="F110" s="331"/>
      <c r="G110" s="332"/>
      <c r="H110" s="333"/>
      <c r="I110" s="330"/>
      <c r="J110" s="333"/>
      <c r="K110" s="515"/>
      <c r="L110" s="333"/>
      <c r="M110" s="343"/>
      <c r="N110" s="344"/>
      <c r="O110" s="337"/>
      <c r="P110" s="671"/>
      <c r="Q110" s="672"/>
      <c r="R110" s="673"/>
    </row>
    <row r="111" spans="1:18" x14ac:dyDescent="0.2">
      <c r="A111" s="612"/>
      <c r="B111" s="613"/>
      <c r="C111" s="614"/>
      <c r="D111" s="338"/>
      <c r="E111" s="330"/>
      <c r="F111" s="331"/>
      <c r="G111" s="332"/>
      <c r="H111" s="333"/>
      <c r="I111" s="330"/>
      <c r="J111" s="333"/>
      <c r="K111" s="515"/>
      <c r="L111" s="333"/>
      <c r="M111" s="343"/>
      <c r="N111" s="344"/>
      <c r="O111" s="337"/>
      <c r="P111" s="671"/>
      <c r="Q111" s="672"/>
      <c r="R111" s="673"/>
    </row>
    <row r="112" spans="1:18" x14ac:dyDescent="0.2">
      <c r="A112" s="668"/>
      <c r="B112" s="669"/>
      <c r="C112" s="670"/>
      <c r="D112" s="22"/>
      <c r="E112" s="330"/>
      <c r="F112" s="331"/>
      <c r="G112" s="332"/>
      <c r="H112" s="333"/>
      <c r="I112" s="330"/>
      <c r="J112" s="24"/>
      <c r="K112" s="515"/>
      <c r="L112" s="333"/>
      <c r="M112" s="343"/>
      <c r="N112" s="344"/>
      <c r="O112" s="337"/>
      <c r="P112" s="671"/>
      <c r="Q112" s="672"/>
      <c r="R112" s="673"/>
    </row>
    <row r="113" spans="1:18" x14ac:dyDescent="0.2">
      <c r="A113" s="668"/>
      <c r="B113" s="669"/>
      <c r="C113" s="670"/>
      <c r="D113" s="338"/>
      <c r="E113" s="330"/>
      <c r="F113" s="331"/>
      <c r="G113" s="332"/>
      <c r="H113" s="333"/>
      <c r="I113" s="347"/>
      <c r="J113" s="333"/>
      <c r="K113" s="515"/>
      <c r="L113" s="333"/>
      <c r="M113" s="343"/>
      <c r="N113" s="344"/>
      <c r="O113" s="337"/>
      <c r="P113" s="671"/>
      <c r="Q113" s="672"/>
      <c r="R113" s="673"/>
    </row>
    <row r="114" spans="1:18" x14ac:dyDescent="0.2">
      <c r="A114" s="668"/>
      <c r="B114" s="669"/>
      <c r="C114" s="670"/>
      <c r="D114" s="338"/>
      <c r="E114" s="330"/>
      <c r="F114" s="331"/>
      <c r="G114" s="332"/>
      <c r="H114" s="333"/>
      <c r="I114" s="330"/>
      <c r="J114" s="333"/>
      <c r="K114" s="519"/>
      <c r="L114" s="24"/>
      <c r="M114" s="343"/>
      <c r="N114" s="344"/>
      <c r="O114" s="337"/>
      <c r="P114" s="671"/>
      <c r="Q114" s="672"/>
      <c r="R114" s="673"/>
    </row>
    <row r="115" spans="1:18" x14ac:dyDescent="0.2">
      <c r="A115" s="674"/>
      <c r="B115" s="675"/>
      <c r="C115" s="676"/>
      <c r="D115" s="354"/>
      <c r="E115" s="355"/>
      <c r="F115" s="356"/>
      <c r="G115" s="357"/>
      <c r="H115" s="358"/>
      <c r="I115" s="355"/>
      <c r="J115" s="358"/>
      <c r="K115" s="72"/>
      <c r="L115" s="358"/>
      <c r="M115" s="359"/>
      <c r="N115" s="37"/>
      <c r="O115" s="360"/>
      <c r="P115" s="677"/>
      <c r="Q115" s="678"/>
      <c r="R115" s="679"/>
    </row>
  </sheetData>
  <mergeCells count="223">
    <mergeCell ref="A34:C34"/>
    <mergeCell ref="A40:C40"/>
    <mergeCell ref="A46:C46"/>
    <mergeCell ref="A52:C52"/>
    <mergeCell ref="P6:R6"/>
    <mergeCell ref="A7:C7"/>
    <mergeCell ref="P7:R7"/>
    <mergeCell ref="A8:C8"/>
    <mergeCell ref="P8:R8"/>
    <mergeCell ref="A9:C9"/>
    <mergeCell ref="P9:R9"/>
    <mergeCell ref="A14:C14"/>
    <mergeCell ref="P14:R14"/>
    <mergeCell ref="A15:C15"/>
    <mergeCell ref="P15:R15"/>
    <mergeCell ref="A19:C19"/>
    <mergeCell ref="P19:R19"/>
    <mergeCell ref="A20:C20"/>
    <mergeCell ref="P20:R20"/>
    <mergeCell ref="A21:C21"/>
    <mergeCell ref="P21:R21"/>
    <mergeCell ref="A16:C16"/>
    <mergeCell ref="P16:R16"/>
    <mergeCell ref="A17:C17"/>
    <mergeCell ref="L1:M1"/>
    <mergeCell ref="L2:M2"/>
    <mergeCell ref="D3:F3"/>
    <mergeCell ref="L3:M3"/>
    <mergeCell ref="A4:C4"/>
    <mergeCell ref="D4:F4"/>
    <mergeCell ref="L4:M4"/>
    <mergeCell ref="A13:C13"/>
    <mergeCell ref="P13:R13"/>
    <mergeCell ref="A10:C10"/>
    <mergeCell ref="P10:R10"/>
    <mergeCell ref="A11:C11"/>
    <mergeCell ref="P11:R11"/>
    <mergeCell ref="A12:C12"/>
    <mergeCell ref="P12:R12"/>
    <mergeCell ref="P2:Q2"/>
    <mergeCell ref="P17:R17"/>
    <mergeCell ref="A18:C18"/>
    <mergeCell ref="P18:R18"/>
    <mergeCell ref="A25:C25"/>
    <mergeCell ref="P25:R25"/>
    <mergeCell ref="A26:C26"/>
    <mergeCell ref="P26:R26"/>
    <mergeCell ref="A27:C27"/>
    <mergeCell ref="P27:R27"/>
    <mergeCell ref="A22:C22"/>
    <mergeCell ref="P22:R22"/>
    <mergeCell ref="A23:C23"/>
    <mergeCell ref="P23:R23"/>
    <mergeCell ref="A24:C24"/>
    <mergeCell ref="P24:R24"/>
    <mergeCell ref="A31:C31"/>
    <mergeCell ref="P31:R31"/>
    <mergeCell ref="A32:C32"/>
    <mergeCell ref="P32:R32"/>
    <mergeCell ref="A33:C33"/>
    <mergeCell ref="P33:R33"/>
    <mergeCell ref="A28:C28"/>
    <mergeCell ref="P28:R28"/>
    <mergeCell ref="A29:C29"/>
    <mergeCell ref="P29:R29"/>
    <mergeCell ref="A30:C30"/>
    <mergeCell ref="P30:R30"/>
    <mergeCell ref="A38:C38"/>
    <mergeCell ref="P38:R38"/>
    <mergeCell ref="A39:C39"/>
    <mergeCell ref="P39:R39"/>
    <mergeCell ref="A41:C41"/>
    <mergeCell ref="P41:R41"/>
    <mergeCell ref="A35:C35"/>
    <mergeCell ref="P35:R35"/>
    <mergeCell ref="A36:C36"/>
    <mergeCell ref="P36:R36"/>
    <mergeCell ref="A37:C37"/>
    <mergeCell ref="P37:R37"/>
    <mergeCell ref="A45:C45"/>
    <mergeCell ref="P45:R45"/>
    <mergeCell ref="A47:C47"/>
    <mergeCell ref="P47:R47"/>
    <mergeCell ref="A48:C48"/>
    <mergeCell ref="P48:R48"/>
    <mergeCell ref="A42:C42"/>
    <mergeCell ref="P42:R42"/>
    <mergeCell ref="A43:C43"/>
    <mergeCell ref="P43:R43"/>
    <mergeCell ref="A44:C44"/>
    <mergeCell ref="P44:R44"/>
    <mergeCell ref="A53:C53"/>
    <mergeCell ref="P53:R53"/>
    <mergeCell ref="A54:C54"/>
    <mergeCell ref="P54:R54"/>
    <mergeCell ref="A55:C55"/>
    <mergeCell ref="P55:R55"/>
    <mergeCell ref="A49:C49"/>
    <mergeCell ref="P49:R49"/>
    <mergeCell ref="A50:C50"/>
    <mergeCell ref="P50:R50"/>
    <mergeCell ref="A51:C51"/>
    <mergeCell ref="P51:R51"/>
    <mergeCell ref="A59:C59"/>
    <mergeCell ref="P59:R59"/>
    <mergeCell ref="A60:C60"/>
    <mergeCell ref="P60:R60"/>
    <mergeCell ref="A61:C61"/>
    <mergeCell ref="P61:R61"/>
    <mergeCell ref="A56:C56"/>
    <mergeCell ref="P56:R56"/>
    <mergeCell ref="A57:C57"/>
    <mergeCell ref="P57:R57"/>
    <mergeCell ref="A58:C58"/>
    <mergeCell ref="P58:R58"/>
    <mergeCell ref="A65:C65"/>
    <mergeCell ref="P65:R65"/>
    <mergeCell ref="A66:C66"/>
    <mergeCell ref="P66:R66"/>
    <mergeCell ref="A67:C67"/>
    <mergeCell ref="P67:R67"/>
    <mergeCell ref="A62:C62"/>
    <mergeCell ref="P62:R62"/>
    <mergeCell ref="A63:C63"/>
    <mergeCell ref="P63:R63"/>
    <mergeCell ref="A64:C64"/>
    <mergeCell ref="P64:R64"/>
    <mergeCell ref="A71:C71"/>
    <mergeCell ref="P71:R71"/>
    <mergeCell ref="A72:C72"/>
    <mergeCell ref="P72:R72"/>
    <mergeCell ref="A73:C73"/>
    <mergeCell ref="P73:R73"/>
    <mergeCell ref="A68:C68"/>
    <mergeCell ref="P68:R68"/>
    <mergeCell ref="A69:C69"/>
    <mergeCell ref="P69:R69"/>
    <mergeCell ref="A70:C70"/>
    <mergeCell ref="P70:R70"/>
    <mergeCell ref="A77:C77"/>
    <mergeCell ref="P77:R77"/>
    <mergeCell ref="A78:C78"/>
    <mergeCell ref="P78:R78"/>
    <mergeCell ref="A79:C79"/>
    <mergeCell ref="P79:R79"/>
    <mergeCell ref="A74:C74"/>
    <mergeCell ref="P74:R74"/>
    <mergeCell ref="A75:C75"/>
    <mergeCell ref="P75:R75"/>
    <mergeCell ref="A76:C76"/>
    <mergeCell ref="P76:R76"/>
    <mergeCell ref="A83:C83"/>
    <mergeCell ref="P83:R83"/>
    <mergeCell ref="A84:C84"/>
    <mergeCell ref="P84:R84"/>
    <mergeCell ref="A85:C85"/>
    <mergeCell ref="P85:R85"/>
    <mergeCell ref="A80:C80"/>
    <mergeCell ref="P80:R80"/>
    <mergeCell ref="A81:C81"/>
    <mergeCell ref="P81:R81"/>
    <mergeCell ref="A82:C82"/>
    <mergeCell ref="P82:R82"/>
    <mergeCell ref="A89:C89"/>
    <mergeCell ref="P89:R89"/>
    <mergeCell ref="A90:C90"/>
    <mergeCell ref="P90:R90"/>
    <mergeCell ref="A91:C91"/>
    <mergeCell ref="P91:R91"/>
    <mergeCell ref="A86:C86"/>
    <mergeCell ref="P86:R86"/>
    <mergeCell ref="A87:C87"/>
    <mergeCell ref="P87:R87"/>
    <mergeCell ref="A88:C88"/>
    <mergeCell ref="P88:R88"/>
    <mergeCell ref="A95:C95"/>
    <mergeCell ref="P95:R95"/>
    <mergeCell ref="A96:C96"/>
    <mergeCell ref="P96:R96"/>
    <mergeCell ref="A97:C97"/>
    <mergeCell ref="P97:R97"/>
    <mergeCell ref="A92:C92"/>
    <mergeCell ref="P92:R92"/>
    <mergeCell ref="A93:C93"/>
    <mergeCell ref="P93:R93"/>
    <mergeCell ref="A94:C94"/>
    <mergeCell ref="P94:R94"/>
    <mergeCell ref="A101:C101"/>
    <mergeCell ref="P101:R101"/>
    <mergeCell ref="A102:C102"/>
    <mergeCell ref="P102:R102"/>
    <mergeCell ref="A103:C103"/>
    <mergeCell ref="P103:R103"/>
    <mergeCell ref="A98:C98"/>
    <mergeCell ref="P98:R98"/>
    <mergeCell ref="A99:C99"/>
    <mergeCell ref="P99:R99"/>
    <mergeCell ref="A100:C100"/>
    <mergeCell ref="P100:R100"/>
    <mergeCell ref="A107:C107"/>
    <mergeCell ref="P107:R107"/>
    <mergeCell ref="A108:C108"/>
    <mergeCell ref="P108:R108"/>
    <mergeCell ref="A109:C109"/>
    <mergeCell ref="P109:R109"/>
    <mergeCell ref="A104:C104"/>
    <mergeCell ref="P104:R104"/>
    <mergeCell ref="A105:C105"/>
    <mergeCell ref="P105:R105"/>
    <mergeCell ref="A106:C106"/>
    <mergeCell ref="P106:R106"/>
    <mergeCell ref="A113:C113"/>
    <mergeCell ref="P113:R113"/>
    <mergeCell ref="A114:C114"/>
    <mergeCell ref="P114:R114"/>
    <mergeCell ref="A115:C115"/>
    <mergeCell ref="P115:R115"/>
    <mergeCell ref="A110:C110"/>
    <mergeCell ref="P110:R110"/>
    <mergeCell ref="A111:C111"/>
    <mergeCell ref="P111:R111"/>
    <mergeCell ref="A112:C112"/>
    <mergeCell ref="P112:R112"/>
  </mergeCells>
  <hyperlinks>
    <hyperlink ref="D8" r:id="rId1"/>
    <hyperlink ref="D9" r:id="rId2"/>
    <hyperlink ref="D67" r:id="rId3"/>
    <hyperlink ref="D92" r:id="rId4" display="D/A-313"/>
    <hyperlink ref="D98" r:id="rId5"/>
    <hyperlink ref="D109" r:id="rId6"/>
    <hyperlink ref="O8" location="'Wood Price'!A1" display="P6"/>
    <hyperlink ref="O61" location="'Wood Price'!A1" display="P6"/>
    <hyperlink ref="O63" location="'Wood Price'!A1" display="P6"/>
    <hyperlink ref="O76" location="'Wood Price'!A1" display="P6"/>
    <hyperlink ref="O82" location="'Wood Price'!A1" display="P6"/>
    <hyperlink ref="O89" location="'Wood Price'!A1" display="P6"/>
    <hyperlink ref="O91" location="'Wood Price'!A1" display="P6"/>
    <hyperlink ref="O93" location="'Wood Price'!A1" display="P6"/>
    <hyperlink ref="O96" location="'Wood Price'!A1" display="P6"/>
    <hyperlink ref="O99" location="'Wood Price'!A1" display="P6"/>
    <hyperlink ref="O105" location="'Wood Price'!A1" display="P6"/>
    <hyperlink ref="O107" location="'Wood Price'!A1" display="P6"/>
    <hyperlink ref="O109" location="'Wood Price'!A1" display="P6"/>
    <hyperlink ref="P2" location="'Table of Contents'!A1" display="Table of Contents"/>
  </hyperlinks>
  <pageMargins left="0.7" right="0.7" top="0.75" bottom="0.75" header="0.3" footer="0.3"/>
  <pageSetup orientation="portrait" horizontalDpi="1200" verticalDpi="1200" r:id="rId7"/>
  <drawing r:id="rId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F19" sqref="F19"/>
    </sheetView>
  </sheetViews>
  <sheetFormatPr defaultRowHeight="12.75" x14ac:dyDescent="0.2"/>
  <cols>
    <col min="1" max="2" width="2.7109375" style="292" customWidth="1"/>
    <col min="3" max="3" width="19.28515625" style="469" bestFit="1" customWidth="1"/>
    <col min="4" max="4" width="3.7109375" style="292" customWidth="1"/>
    <col min="5" max="5" width="6.7109375" style="292" customWidth="1"/>
    <col min="6" max="6" width="3.5703125" style="292" bestFit="1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3.5703125" style="292" bestFit="1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707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667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530</v>
      </c>
      <c r="D9" s="575">
        <v>6</v>
      </c>
      <c r="E9" s="476">
        <f>Concrete!I8</f>
        <v>10141</v>
      </c>
      <c r="F9" s="263" t="s">
        <v>348</v>
      </c>
      <c r="G9" s="434">
        <v>2.34</v>
      </c>
      <c r="H9" s="435">
        <f t="shared" ref="H9:H41" si="0">G9*E9</f>
        <v>23729.94</v>
      </c>
      <c r="I9" s="436" t="s">
        <v>263</v>
      </c>
      <c r="J9" s="263">
        <v>3000</v>
      </c>
      <c r="K9" s="263">
        <f t="shared" ref="K9:K41" si="1">E9/J9</f>
        <v>3.3803333333333332</v>
      </c>
      <c r="L9" s="263">
        <f t="shared" ref="L9:L41" si="2">8*K9</f>
        <v>27.042666666666666</v>
      </c>
      <c r="M9" s="263" t="s">
        <v>531</v>
      </c>
      <c r="N9" s="437">
        <v>4</v>
      </c>
      <c r="O9" s="434">
        <v>22.05</v>
      </c>
      <c r="P9" s="438">
        <f>O12*L9</f>
        <v>3589.3731466666663</v>
      </c>
      <c r="Q9" s="439" t="s">
        <v>805</v>
      </c>
      <c r="R9" s="434">
        <v>1100</v>
      </c>
      <c r="S9" s="435">
        <f>R9*K9</f>
        <v>3718.3666666666663</v>
      </c>
      <c r="T9" s="478">
        <f t="shared" ref="T9:T41" si="3">S9+P9+H9</f>
        <v>31037.679813333332</v>
      </c>
      <c r="U9" s="436">
        <f t="shared" ref="U9:U41" si="4">T9/E9</f>
        <v>3.0606133333333334</v>
      </c>
      <c r="V9" s="441" t="str">
        <f t="shared" ref="V9:V41" si="5">F9</f>
        <v>sf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/>
      <c r="I10" s="436"/>
      <c r="J10" s="263"/>
      <c r="K10" s="263"/>
      <c r="L10" s="263"/>
      <c r="M10" s="442" t="s">
        <v>511</v>
      </c>
      <c r="N10" s="443">
        <v>1</v>
      </c>
      <c r="O10" s="434">
        <v>23.9</v>
      </c>
      <c r="P10" s="438"/>
      <c r="Q10" s="439"/>
      <c r="R10" s="434"/>
      <c r="S10" s="435"/>
      <c r="T10" s="478"/>
      <c r="U10" s="436"/>
      <c r="V10" s="441"/>
    </row>
    <row r="11" spans="1:24" x14ac:dyDescent="0.2">
      <c r="A11" s="444"/>
      <c r="B11" s="281"/>
      <c r="C11" s="432"/>
      <c r="D11" s="263"/>
      <c r="E11" s="263"/>
      <c r="F11" s="263"/>
      <c r="G11" s="434"/>
      <c r="H11" s="435"/>
      <c r="I11" s="436"/>
      <c r="J11" s="263"/>
      <c r="K11" s="263"/>
      <c r="L11" s="263"/>
      <c r="M11" s="263" t="s">
        <v>532</v>
      </c>
      <c r="N11" s="437">
        <v>1</v>
      </c>
      <c r="O11" s="434">
        <v>20.63</v>
      </c>
      <c r="P11" s="438"/>
      <c r="Q11" s="439"/>
      <c r="R11" s="434"/>
      <c r="S11" s="435"/>
      <c r="T11" s="478"/>
      <c r="U11" s="436"/>
      <c r="V11" s="441"/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>
        <f>O9*N9+O10+O11</f>
        <v>132.72999999999999</v>
      </c>
      <c r="P12" s="438"/>
      <c r="Q12" s="439"/>
      <c r="R12" s="434"/>
      <c r="S12" s="435"/>
      <c r="T12" s="478"/>
      <c r="U12" s="436"/>
      <c r="V12" s="441"/>
    </row>
    <row r="13" spans="1:24" x14ac:dyDescent="0.2">
      <c r="A13" s="431"/>
      <c r="B13" s="281"/>
      <c r="C13" s="432"/>
      <c r="D13" s="263"/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/>
      <c r="U13" s="436"/>
      <c r="V13" s="441"/>
    </row>
    <row r="14" spans="1:24" ht="15" x14ac:dyDescent="0.25">
      <c r="A14" s="444"/>
      <c r="B14" s="281"/>
      <c r="C14" s="432" t="s">
        <v>533</v>
      </c>
      <c r="D14" s="575">
        <v>6</v>
      </c>
      <c r="E14" s="263">
        <f>Wood!M61*1.05</f>
        <v>10537.800000000001</v>
      </c>
      <c r="F14" s="263" t="s">
        <v>348</v>
      </c>
      <c r="G14" s="434">
        <v>0.67</v>
      </c>
      <c r="H14" s="435">
        <f t="shared" si="0"/>
        <v>7060.3260000000009</v>
      </c>
      <c r="I14" s="436" t="s">
        <v>534</v>
      </c>
      <c r="J14" s="263">
        <f>1586*1.5</f>
        <v>2379</v>
      </c>
      <c r="K14" s="263">
        <f t="shared" si="1"/>
        <v>4.4295081967213124</v>
      </c>
      <c r="L14" s="263">
        <f t="shared" si="2"/>
        <v>35.436065573770499</v>
      </c>
      <c r="M14" s="263" t="s">
        <v>473</v>
      </c>
      <c r="N14" s="437">
        <v>3</v>
      </c>
      <c r="O14" s="434">
        <v>22.05</v>
      </c>
      <c r="P14" s="438">
        <f>O14*N14*L14</f>
        <v>2344.0957377049185</v>
      </c>
      <c r="Q14" s="439"/>
      <c r="R14" s="434"/>
      <c r="S14" s="435"/>
      <c r="T14" s="478">
        <f t="shared" si="3"/>
        <v>9404.421737704919</v>
      </c>
      <c r="U14" s="436">
        <f t="shared" si="4"/>
        <v>0.89244640605296344</v>
      </c>
      <c r="V14" s="441" t="str">
        <f t="shared" si="5"/>
        <v>sf</v>
      </c>
    </row>
    <row r="15" spans="1:24" x14ac:dyDescent="0.2">
      <c r="A15" s="431"/>
      <c r="B15" s="281"/>
      <c r="C15" s="432"/>
      <c r="D15" s="263"/>
      <c r="E15" s="263"/>
      <c r="F15" s="263"/>
      <c r="G15" s="434"/>
      <c r="H15" s="435"/>
      <c r="I15" s="436"/>
      <c r="J15" s="263"/>
      <c r="K15" s="263"/>
      <c r="L15" s="263"/>
      <c r="M15" s="263"/>
      <c r="N15" s="437"/>
      <c r="O15" s="434"/>
      <c r="P15" s="438"/>
      <c r="Q15" s="439"/>
      <c r="R15" s="434"/>
      <c r="S15" s="435"/>
      <c r="T15" s="478"/>
      <c r="U15" s="436"/>
      <c r="V15" s="441"/>
    </row>
    <row r="16" spans="1:24" ht="15" x14ac:dyDescent="0.25">
      <c r="A16" s="431"/>
      <c r="B16" s="281"/>
      <c r="C16" s="432" t="s">
        <v>535</v>
      </c>
      <c r="D16" s="575">
        <v>6</v>
      </c>
      <c r="E16" s="476">
        <f>Wood!M63+Masonry!I33*1.05</f>
        <v>18839.589473684209</v>
      </c>
      <c r="F16" s="263" t="s">
        <v>348</v>
      </c>
      <c r="G16" s="434">
        <v>0.5</v>
      </c>
      <c r="H16" s="435">
        <f t="shared" si="0"/>
        <v>9419.7947368421046</v>
      </c>
      <c r="I16" s="436" t="s">
        <v>534</v>
      </c>
      <c r="J16" s="263">
        <f>1125*1.5</f>
        <v>1687.5</v>
      </c>
      <c r="K16" s="263">
        <f t="shared" si="1"/>
        <v>11.164201169590642</v>
      </c>
      <c r="L16" s="263">
        <f t="shared" si="2"/>
        <v>89.313609356725138</v>
      </c>
      <c r="M16" s="263" t="s">
        <v>473</v>
      </c>
      <c r="N16" s="437">
        <v>3</v>
      </c>
      <c r="O16" s="434">
        <v>22.05</v>
      </c>
      <c r="P16" s="438">
        <f>O16*N16*L16</f>
        <v>5908.0952589473682</v>
      </c>
      <c r="Q16" s="439"/>
      <c r="R16" s="434"/>
      <c r="S16" s="435"/>
      <c r="T16" s="478">
        <f t="shared" si="3"/>
        <v>15327.889995789472</v>
      </c>
      <c r="U16" s="436">
        <f t="shared" si="4"/>
        <v>0.81359999999999999</v>
      </c>
      <c r="V16" s="441" t="str">
        <f t="shared" si="5"/>
        <v>sf</v>
      </c>
    </row>
    <row r="17" spans="1:22" x14ac:dyDescent="0.2">
      <c r="A17" s="444"/>
      <c r="B17" s="281"/>
      <c r="C17" s="43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ht="15" x14ac:dyDescent="0.25">
      <c r="A18" s="431"/>
      <c r="B18" s="281"/>
      <c r="C18" s="432" t="s">
        <v>207</v>
      </c>
      <c r="D18" s="575">
        <v>6</v>
      </c>
      <c r="E18" s="263"/>
      <c r="F18" s="263"/>
      <c r="G18" s="434"/>
      <c r="H18" s="435"/>
      <c r="I18" s="436"/>
      <c r="J18" s="263"/>
      <c r="K18" s="263"/>
      <c r="L18" s="263"/>
      <c r="M18" s="263"/>
      <c r="N18" s="437"/>
      <c r="O18" s="434"/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432" t="s">
        <v>192</v>
      </c>
      <c r="D19" s="263"/>
      <c r="E19" s="263">
        <f>(Wood!K68+Wood!K71)/1000</f>
        <v>0.193</v>
      </c>
      <c r="F19" s="263" t="s">
        <v>538</v>
      </c>
      <c r="G19" s="434">
        <v>574.59</v>
      </c>
      <c r="H19" s="435">
        <f t="shared" si="0"/>
        <v>110.89587</v>
      </c>
      <c r="I19" s="436" t="s">
        <v>539</v>
      </c>
      <c r="J19" s="263">
        <v>0.43</v>
      </c>
      <c r="K19" s="263">
        <f t="shared" si="1"/>
        <v>0.44883720930232562</v>
      </c>
      <c r="L19" s="263">
        <f t="shared" si="2"/>
        <v>3.590697674418605</v>
      </c>
      <c r="M19" s="263" t="s">
        <v>473</v>
      </c>
      <c r="N19" s="437">
        <v>2</v>
      </c>
      <c r="O19" s="434">
        <v>22.05</v>
      </c>
      <c r="P19" s="438">
        <f>O19*N19*L19</f>
        <v>158.34976744186048</v>
      </c>
      <c r="Q19" s="439"/>
      <c r="R19" s="434"/>
      <c r="S19" s="435"/>
      <c r="T19" s="478">
        <f t="shared" si="3"/>
        <v>269.24563744186048</v>
      </c>
      <c r="U19" s="436">
        <f t="shared" si="4"/>
        <v>1395.0551162790698</v>
      </c>
      <c r="V19" s="441" t="str">
        <f t="shared" si="5"/>
        <v>mbf</v>
      </c>
    </row>
    <row r="20" spans="1:22" x14ac:dyDescent="0.2">
      <c r="A20" s="444"/>
      <c r="B20" s="281"/>
      <c r="C20" s="432" t="s">
        <v>191</v>
      </c>
      <c r="D20" s="263"/>
      <c r="E20" s="263">
        <f>(Wood!K69+Wood!K70)/1000</f>
        <v>0.47614000000000001</v>
      </c>
      <c r="F20" s="263" t="s">
        <v>538</v>
      </c>
      <c r="G20" s="434">
        <v>606.80999999999995</v>
      </c>
      <c r="H20" s="435">
        <f t="shared" si="0"/>
        <v>288.92651339999998</v>
      </c>
      <c r="I20" s="436" t="s">
        <v>491</v>
      </c>
      <c r="J20" s="263">
        <v>0.45</v>
      </c>
      <c r="K20" s="263">
        <f t="shared" si="1"/>
        <v>1.0580888888888889</v>
      </c>
      <c r="L20" s="263">
        <f t="shared" si="2"/>
        <v>8.4647111111111109</v>
      </c>
      <c r="M20" s="263" t="s">
        <v>473</v>
      </c>
      <c r="N20" s="437">
        <v>2</v>
      </c>
      <c r="O20" s="434">
        <v>22.05</v>
      </c>
      <c r="P20" s="438">
        <f>O20*N20*L20</f>
        <v>373.29376000000002</v>
      </c>
      <c r="Q20" s="439"/>
      <c r="R20" s="434"/>
      <c r="S20" s="435"/>
      <c r="T20" s="478">
        <f t="shared" si="3"/>
        <v>662.2202734</v>
      </c>
      <c r="U20" s="436">
        <f t="shared" si="4"/>
        <v>1390.81</v>
      </c>
      <c r="V20" s="441" t="str">
        <f t="shared" si="5"/>
        <v>mbf</v>
      </c>
    </row>
    <row r="21" spans="1:22" x14ac:dyDescent="0.2">
      <c r="A21" s="431"/>
      <c r="B21" s="281"/>
      <c r="C21" s="432" t="s">
        <v>201</v>
      </c>
      <c r="D21" s="263"/>
      <c r="E21" s="263">
        <f>(Wood!K72+Wood!K73+Wood!K74+Wood!K75)/1000</f>
        <v>1.8725399999999999</v>
      </c>
      <c r="F21" s="263" t="s">
        <v>538</v>
      </c>
      <c r="G21" s="434">
        <v>639.21</v>
      </c>
      <c r="H21" s="435">
        <f t="shared" si="0"/>
        <v>1196.9462934000001</v>
      </c>
      <c r="I21" s="436" t="s">
        <v>491</v>
      </c>
      <c r="J21" s="263">
        <v>0.47</v>
      </c>
      <c r="K21" s="263">
        <f t="shared" si="1"/>
        <v>3.9841276595744679</v>
      </c>
      <c r="L21" s="263">
        <f t="shared" si="2"/>
        <v>31.873021276595743</v>
      </c>
      <c r="M21" s="263" t="s">
        <v>473</v>
      </c>
      <c r="N21" s="437">
        <v>2</v>
      </c>
      <c r="O21" s="434">
        <v>22.05</v>
      </c>
      <c r="P21" s="438">
        <f>O21*N21*L21</f>
        <v>1405.6002382978722</v>
      </c>
      <c r="Q21" s="439"/>
      <c r="R21" s="434"/>
      <c r="S21" s="435"/>
      <c r="T21" s="478">
        <f t="shared" si="3"/>
        <v>2602.5465316978725</v>
      </c>
      <c r="U21" s="436">
        <f t="shared" si="4"/>
        <v>1389.8482978723407</v>
      </c>
      <c r="V21" s="441" t="str">
        <f t="shared" si="5"/>
        <v>mbf</v>
      </c>
    </row>
    <row r="22" spans="1:22" x14ac:dyDescent="0.2">
      <c r="A22" s="431"/>
      <c r="B22" s="281"/>
      <c r="C22" s="43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ht="15" x14ac:dyDescent="0.25">
      <c r="A23" s="431"/>
      <c r="B23" s="281"/>
      <c r="C23" s="432" t="s">
        <v>540</v>
      </c>
      <c r="D23" s="575">
        <v>6</v>
      </c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432" t="s">
        <v>191</v>
      </c>
      <c r="D24" s="263"/>
      <c r="E24" s="433">
        <f>(Wood!I80+Wood!I81)/1000</f>
        <v>0.60899999999999999</v>
      </c>
      <c r="F24" s="263" t="s">
        <v>538</v>
      </c>
      <c r="G24" s="434">
        <v>606.80999999999995</v>
      </c>
      <c r="H24" s="435">
        <f t="shared" si="0"/>
        <v>369.54728999999998</v>
      </c>
      <c r="I24" s="436" t="s">
        <v>491</v>
      </c>
      <c r="J24" s="263">
        <v>0.6</v>
      </c>
      <c r="K24" s="263">
        <f t="shared" si="1"/>
        <v>1.0150000000000001</v>
      </c>
      <c r="L24" s="263">
        <f t="shared" si="2"/>
        <v>8.120000000000001</v>
      </c>
      <c r="M24" s="263" t="s">
        <v>473</v>
      </c>
      <c r="N24" s="437">
        <v>2</v>
      </c>
      <c r="O24" s="434">
        <v>22.05</v>
      </c>
      <c r="P24" s="438">
        <f>O24*N24*L24</f>
        <v>358.09200000000004</v>
      </c>
      <c r="Q24" s="439"/>
      <c r="R24" s="434"/>
      <c r="S24" s="435"/>
      <c r="T24" s="478">
        <f t="shared" si="3"/>
        <v>727.63929000000007</v>
      </c>
      <c r="U24" s="436">
        <f t="shared" si="4"/>
        <v>1194.8100000000002</v>
      </c>
      <c r="V24" s="441" t="str">
        <f t="shared" si="5"/>
        <v>mbf</v>
      </c>
    </row>
    <row r="25" spans="1:22" x14ac:dyDescent="0.2">
      <c r="A25" s="431"/>
      <c r="B25" s="281"/>
      <c r="C25" s="432" t="s">
        <v>201</v>
      </c>
      <c r="D25" s="263"/>
      <c r="E25" s="263">
        <f>Wood!I79/1000</f>
        <v>3.3667199999999999</v>
      </c>
      <c r="F25" s="263" t="s">
        <v>538</v>
      </c>
      <c r="G25" s="434">
        <v>649.77</v>
      </c>
      <c r="H25" s="435">
        <f t="shared" si="0"/>
        <v>2187.5936544000001</v>
      </c>
      <c r="I25" s="436" t="s">
        <v>541</v>
      </c>
      <c r="J25" s="263">
        <v>1.3</v>
      </c>
      <c r="K25" s="263">
        <f t="shared" si="1"/>
        <v>2.5897846153846151</v>
      </c>
      <c r="L25" s="263">
        <f t="shared" si="2"/>
        <v>20.718276923076921</v>
      </c>
      <c r="M25" s="263" t="s">
        <v>473</v>
      </c>
      <c r="N25" s="437">
        <v>4</v>
      </c>
      <c r="O25" s="434">
        <v>22.05</v>
      </c>
      <c r="P25" s="438">
        <f>O25*N25*L25</f>
        <v>1827.3520246153846</v>
      </c>
      <c r="Q25" s="439"/>
      <c r="R25" s="434"/>
      <c r="S25" s="435"/>
      <c r="T25" s="478">
        <f t="shared" si="3"/>
        <v>4014.9456790153845</v>
      </c>
      <c r="U25" s="436">
        <f t="shared" si="4"/>
        <v>1192.5392307692307</v>
      </c>
      <c r="V25" s="441" t="str">
        <f t="shared" si="5"/>
        <v>mbf</v>
      </c>
    </row>
    <row r="26" spans="1:22" x14ac:dyDescent="0.2">
      <c r="A26" s="431"/>
      <c r="B26" s="281"/>
      <c r="C26" s="43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ht="15" x14ac:dyDescent="0.25">
      <c r="A27" s="431"/>
      <c r="B27" s="281"/>
      <c r="C27" s="432" t="s">
        <v>220</v>
      </c>
      <c r="D27" s="575">
        <v>6</v>
      </c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432" t="s">
        <v>542</v>
      </c>
      <c r="D28" s="263"/>
      <c r="E28" s="524">
        <f>(Wood!I85+Wood!I87)/1000</f>
        <v>4.3088636842105261</v>
      </c>
      <c r="F28" s="263" t="s">
        <v>538</v>
      </c>
      <c r="G28" s="434">
        <v>649.77</v>
      </c>
      <c r="H28" s="435">
        <f t="shared" si="0"/>
        <v>2799.7703560894734</v>
      </c>
      <c r="I28" s="436" t="s">
        <v>491</v>
      </c>
      <c r="J28" s="263">
        <v>0.53</v>
      </c>
      <c r="K28" s="263">
        <f t="shared" si="1"/>
        <v>8.1299314796425008</v>
      </c>
      <c r="L28" s="263">
        <f t="shared" si="2"/>
        <v>65.039451837140007</v>
      </c>
      <c r="M28" s="263" t="s">
        <v>473</v>
      </c>
      <c r="N28" s="437">
        <v>2</v>
      </c>
      <c r="O28" s="434">
        <v>22.05</v>
      </c>
      <c r="P28" s="438">
        <f>O28*N28*L28</f>
        <v>2868.2398260178743</v>
      </c>
      <c r="Q28" s="439"/>
      <c r="R28" s="434"/>
      <c r="S28" s="435"/>
      <c r="T28" s="478">
        <f t="shared" si="3"/>
        <v>5668.0101821073476</v>
      </c>
      <c r="U28" s="436">
        <f t="shared" si="4"/>
        <v>1315.4303773584904</v>
      </c>
      <c r="V28" s="441" t="str">
        <f t="shared" si="5"/>
        <v>mbf</v>
      </c>
    </row>
    <row r="29" spans="1:22" x14ac:dyDescent="0.2">
      <c r="A29" s="431"/>
      <c r="B29" s="281"/>
      <c r="C29" s="432" t="s">
        <v>191</v>
      </c>
      <c r="D29" s="263"/>
      <c r="E29" s="263">
        <f>(Wood!I86+Wood!I88)/1000</f>
        <v>2.6397000000000004</v>
      </c>
      <c r="F29" s="263" t="s">
        <v>538</v>
      </c>
      <c r="G29" s="434">
        <v>606.80999999999995</v>
      </c>
      <c r="H29" s="435">
        <f t="shared" si="0"/>
        <v>1601.7963570000002</v>
      </c>
      <c r="I29" s="436" t="s">
        <v>491</v>
      </c>
      <c r="J29" s="263">
        <v>0.45</v>
      </c>
      <c r="K29" s="263">
        <f t="shared" si="1"/>
        <v>5.8660000000000005</v>
      </c>
      <c r="L29" s="263">
        <f t="shared" si="2"/>
        <v>46.928000000000004</v>
      </c>
      <c r="M29" s="263" t="s">
        <v>473</v>
      </c>
      <c r="N29" s="437">
        <v>2</v>
      </c>
      <c r="O29" s="434">
        <v>22.05</v>
      </c>
      <c r="P29" s="438">
        <f>O29*N29*L29</f>
        <v>2069.5248000000001</v>
      </c>
      <c r="Q29" s="439"/>
      <c r="R29" s="434"/>
      <c r="S29" s="435"/>
      <c r="T29" s="478">
        <f t="shared" si="3"/>
        <v>3671.3211570000003</v>
      </c>
      <c r="U29" s="436">
        <f t="shared" si="4"/>
        <v>1390.81</v>
      </c>
      <c r="V29" s="441" t="str">
        <f t="shared" si="5"/>
        <v>mbf</v>
      </c>
    </row>
    <row r="30" spans="1:22" x14ac:dyDescent="0.2">
      <c r="A30" s="431"/>
      <c r="B30" s="281"/>
      <c r="C30" s="43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ht="15" x14ac:dyDescent="0.25">
      <c r="A31" s="431"/>
      <c r="B31" s="281"/>
      <c r="C31" s="432" t="s">
        <v>226</v>
      </c>
      <c r="D31" s="575">
        <v>6</v>
      </c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432" t="s">
        <v>227</v>
      </c>
      <c r="D32" s="263"/>
      <c r="E32" s="263">
        <f>(Wood!I91)/1000</f>
        <v>0.84399999999999997</v>
      </c>
      <c r="F32" s="263" t="s">
        <v>538</v>
      </c>
      <c r="G32" s="434">
        <v>606.80999999999995</v>
      </c>
      <c r="H32" s="435">
        <f t="shared" si="0"/>
        <v>512.14763999999991</v>
      </c>
      <c r="I32" s="436" t="s">
        <v>487</v>
      </c>
      <c r="J32" s="263">
        <v>0.27</v>
      </c>
      <c r="K32" s="263">
        <f t="shared" si="1"/>
        <v>3.1259259259259258</v>
      </c>
      <c r="L32" s="263">
        <f t="shared" si="2"/>
        <v>25.007407407407406</v>
      </c>
      <c r="M32" s="263" t="s">
        <v>473</v>
      </c>
      <c r="N32" s="437">
        <v>1</v>
      </c>
      <c r="O32" s="434">
        <v>22.05</v>
      </c>
      <c r="P32" s="438">
        <f>O32*N32*L32</f>
        <v>551.4133333333333</v>
      </c>
      <c r="Q32" s="439"/>
      <c r="R32" s="434"/>
      <c r="S32" s="435"/>
      <c r="T32" s="478">
        <f t="shared" si="3"/>
        <v>1063.5609733333331</v>
      </c>
      <c r="U32" s="436">
        <f t="shared" si="4"/>
        <v>1260.1433333333332</v>
      </c>
      <c r="V32" s="441" t="str">
        <f t="shared" si="5"/>
        <v>mbf</v>
      </c>
    </row>
    <row r="33" spans="1:22" x14ac:dyDescent="0.2">
      <c r="A33" s="431"/>
      <c r="B33" s="281"/>
      <c r="C33" s="432" t="s">
        <v>543</v>
      </c>
      <c r="D33" s="263"/>
      <c r="E33" s="263">
        <f>Wood!M93/1000</f>
        <v>1</v>
      </c>
      <c r="F33" s="263" t="s">
        <v>538</v>
      </c>
      <c r="G33" s="434">
        <v>606.80999999999995</v>
      </c>
      <c r="H33" s="435">
        <f t="shared" si="0"/>
        <v>606.80999999999995</v>
      </c>
      <c r="I33" s="436" t="s">
        <v>487</v>
      </c>
      <c r="J33" s="263">
        <v>0.27</v>
      </c>
      <c r="K33" s="263">
        <f t="shared" si="1"/>
        <v>3.7037037037037033</v>
      </c>
      <c r="L33" s="263">
        <f t="shared" si="2"/>
        <v>29.629629629629626</v>
      </c>
      <c r="M33" s="263" t="s">
        <v>473</v>
      </c>
      <c r="N33" s="437">
        <v>1</v>
      </c>
      <c r="O33" s="434">
        <v>22.05</v>
      </c>
      <c r="P33" s="438">
        <f>O33*N33*L33</f>
        <v>653.33333333333326</v>
      </c>
      <c r="Q33" s="439"/>
      <c r="R33" s="434"/>
      <c r="S33" s="435"/>
      <c r="T33" s="478">
        <f t="shared" si="3"/>
        <v>1260.1433333333332</v>
      </c>
      <c r="U33" s="436">
        <f t="shared" si="4"/>
        <v>1260.1433333333332</v>
      </c>
      <c r="V33" s="441" t="str">
        <f t="shared" si="5"/>
        <v>mbf</v>
      </c>
    </row>
    <row r="34" spans="1:22" x14ac:dyDescent="0.2">
      <c r="A34" s="431"/>
      <c r="B34" s="281"/>
      <c r="C34" s="43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ht="15" x14ac:dyDescent="0.25">
      <c r="A35" s="431"/>
      <c r="B35" s="281"/>
      <c r="C35" s="432" t="s">
        <v>284</v>
      </c>
      <c r="D35" s="575">
        <v>6</v>
      </c>
      <c r="E35" s="263">
        <f>Wood!M96</f>
        <v>3003</v>
      </c>
      <c r="F35" s="263" t="s">
        <v>348</v>
      </c>
      <c r="G35" s="434">
        <v>9.99</v>
      </c>
      <c r="H35" s="435">
        <f t="shared" si="0"/>
        <v>29999.97</v>
      </c>
      <c r="I35" s="436" t="s">
        <v>534</v>
      </c>
      <c r="J35" s="263">
        <v>400</v>
      </c>
      <c r="K35" s="263">
        <f t="shared" si="1"/>
        <v>7.5075000000000003</v>
      </c>
      <c r="L35" s="263">
        <f t="shared" si="2"/>
        <v>60.06</v>
      </c>
      <c r="M35" s="263" t="s">
        <v>473</v>
      </c>
      <c r="N35" s="437">
        <v>3</v>
      </c>
      <c r="O35" s="434">
        <v>22.05</v>
      </c>
      <c r="P35" s="438">
        <f>O35*N35*L35</f>
        <v>3972.9690000000005</v>
      </c>
      <c r="Q35" s="439"/>
      <c r="R35" s="434"/>
      <c r="S35" s="435"/>
      <c r="T35" s="478">
        <f t="shared" si="3"/>
        <v>33972.938999999998</v>
      </c>
      <c r="U35" s="436">
        <f t="shared" si="4"/>
        <v>11.312999999999999</v>
      </c>
      <c r="V35" s="441" t="str">
        <f t="shared" si="5"/>
        <v>sf</v>
      </c>
    </row>
    <row r="36" spans="1:22" x14ac:dyDescent="0.2">
      <c r="A36" s="431"/>
      <c r="B36" s="281"/>
      <c r="C36" s="43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ht="15" x14ac:dyDescent="0.25">
      <c r="A37" s="431"/>
      <c r="B37" s="281"/>
      <c r="C37" s="432" t="s">
        <v>309</v>
      </c>
      <c r="D37" s="575">
        <v>6</v>
      </c>
      <c r="E37" s="476">
        <f>Wood!M102</f>
        <v>5659.289057</v>
      </c>
      <c r="F37" s="263" t="s">
        <v>195</v>
      </c>
      <c r="G37" s="434">
        <v>1.76</v>
      </c>
      <c r="H37" s="435">
        <f t="shared" si="0"/>
        <v>9960.3487403199997</v>
      </c>
      <c r="I37" s="436" t="s">
        <v>534</v>
      </c>
      <c r="J37" s="263">
        <v>720</v>
      </c>
      <c r="K37" s="263">
        <f t="shared" si="1"/>
        <v>7.8601236902777778</v>
      </c>
      <c r="L37" s="263">
        <f t="shared" si="2"/>
        <v>62.880989522222222</v>
      </c>
      <c r="M37" s="263" t="s">
        <v>473</v>
      </c>
      <c r="N37" s="437">
        <v>2</v>
      </c>
      <c r="O37" s="434">
        <v>22.05</v>
      </c>
      <c r="P37" s="438">
        <f>O37*N37*L37</f>
        <v>2773.0516379300002</v>
      </c>
      <c r="Q37" s="439"/>
      <c r="R37" s="434"/>
      <c r="S37" s="435"/>
      <c r="T37" s="478">
        <f t="shared" si="3"/>
        <v>12733.40037825</v>
      </c>
      <c r="U37" s="436">
        <f t="shared" si="4"/>
        <v>2.25</v>
      </c>
      <c r="V37" s="441" t="str">
        <f t="shared" si="5"/>
        <v>lf</v>
      </c>
    </row>
    <row r="38" spans="1:22" x14ac:dyDescent="0.2">
      <c r="A38" s="431"/>
      <c r="B38" s="281"/>
      <c r="C38" s="43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ht="15" x14ac:dyDescent="0.25">
      <c r="A39" s="431"/>
      <c r="B39" s="281"/>
      <c r="C39" s="432" t="s">
        <v>316</v>
      </c>
      <c r="D39" s="575">
        <v>6</v>
      </c>
      <c r="E39" s="476">
        <f>Wood!E105</f>
        <v>40</v>
      </c>
      <c r="F39" s="263" t="s">
        <v>195</v>
      </c>
      <c r="G39" s="434">
        <v>95.34</v>
      </c>
      <c r="H39" s="435">
        <f t="shared" si="0"/>
        <v>3813.6000000000004</v>
      </c>
      <c r="I39" s="436" t="s">
        <v>491</v>
      </c>
      <c r="J39" s="263">
        <v>15</v>
      </c>
      <c r="K39" s="263">
        <f t="shared" si="1"/>
        <v>2.6666666666666665</v>
      </c>
      <c r="L39" s="263">
        <f t="shared" si="2"/>
        <v>21.333333333333332</v>
      </c>
      <c r="M39" s="263" t="s">
        <v>473</v>
      </c>
      <c r="N39" s="437">
        <v>2</v>
      </c>
      <c r="O39" s="434">
        <v>22.05</v>
      </c>
      <c r="P39" s="438">
        <f>O39*N39*L39</f>
        <v>940.8</v>
      </c>
      <c r="Q39" s="439"/>
      <c r="R39" s="434"/>
      <c r="S39" s="435"/>
      <c r="T39" s="478">
        <f t="shared" si="3"/>
        <v>4754.4000000000005</v>
      </c>
      <c r="U39" s="436">
        <f t="shared" si="4"/>
        <v>118.86000000000001</v>
      </c>
      <c r="V39" s="441" t="str">
        <f t="shared" si="5"/>
        <v>lf</v>
      </c>
    </row>
    <row r="40" spans="1:22" ht="15" x14ac:dyDescent="0.25">
      <c r="A40" s="431"/>
      <c r="B40" s="281"/>
      <c r="C40" s="432" t="s">
        <v>546</v>
      </c>
      <c r="D40" s="575">
        <v>6</v>
      </c>
      <c r="E40" s="263">
        <f>Wood!E107</f>
        <v>149</v>
      </c>
      <c r="F40" s="263" t="s">
        <v>195</v>
      </c>
      <c r="G40" s="434">
        <v>0.94</v>
      </c>
      <c r="H40" s="435">
        <f t="shared" si="0"/>
        <v>140.06</v>
      </c>
      <c r="I40" s="436" t="s">
        <v>487</v>
      </c>
      <c r="J40" s="263">
        <v>240</v>
      </c>
      <c r="K40" s="263">
        <f t="shared" si="1"/>
        <v>0.62083333333333335</v>
      </c>
      <c r="L40" s="263">
        <f t="shared" si="2"/>
        <v>4.9666666666666668</v>
      </c>
      <c r="M40" s="263" t="s">
        <v>473</v>
      </c>
      <c r="N40" s="437">
        <v>1</v>
      </c>
      <c r="O40" s="434">
        <v>22.05</v>
      </c>
      <c r="P40" s="438">
        <f>O40*N40*L40</f>
        <v>109.515</v>
      </c>
      <c r="Q40" s="439"/>
      <c r="R40" s="434"/>
      <c r="S40" s="435"/>
      <c r="T40" s="478">
        <f t="shared" si="3"/>
        <v>249.57499999999999</v>
      </c>
      <c r="U40" s="436">
        <f t="shared" si="4"/>
        <v>1.6749999999999998</v>
      </c>
      <c r="V40" s="441" t="str">
        <f t="shared" si="5"/>
        <v>lf</v>
      </c>
    </row>
    <row r="41" spans="1:22" ht="15.75" thickBot="1" x14ac:dyDescent="0.3">
      <c r="A41" s="446"/>
      <c r="B41" s="364"/>
      <c r="C41" s="447" t="s">
        <v>551</v>
      </c>
      <c r="D41" s="575">
        <v>6</v>
      </c>
      <c r="E41" s="270">
        <v>20</v>
      </c>
      <c r="F41" s="270" t="s">
        <v>433</v>
      </c>
      <c r="G41" s="448">
        <v>366.46</v>
      </c>
      <c r="H41" s="449">
        <f t="shared" si="0"/>
        <v>7329.2</v>
      </c>
      <c r="I41" s="450" t="s">
        <v>491</v>
      </c>
      <c r="J41" s="270">
        <v>4</v>
      </c>
      <c r="K41" s="442">
        <f t="shared" si="1"/>
        <v>5</v>
      </c>
      <c r="L41" s="442">
        <f t="shared" si="2"/>
        <v>40</v>
      </c>
      <c r="M41" s="263" t="s">
        <v>473</v>
      </c>
      <c r="N41" s="437">
        <v>2</v>
      </c>
      <c r="O41" s="434">
        <v>22.05</v>
      </c>
      <c r="P41" s="438">
        <f>O41*N41*L41</f>
        <v>1764</v>
      </c>
      <c r="Q41" s="453"/>
      <c r="R41" s="448"/>
      <c r="S41" s="454"/>
      <c r="T41" s="479">
        <f t="shared" si="3"/>
        <v>9093.2000000000007</v>
      </c>
      <c r="U41" s="456">
        <f t="shared" si="4"/>
        <v>454.66</v>
      </c>
      <c r="V41" s="441" t="str">
        <f t="shared" si="5"/>
        <v>ea</v>
      </c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SUM(H8:H41)</f>
        <v>101127.67345145158</v>
      </c>
      <c r="I42" s="462"/>
      <c r="J42" s="463"/>
      <c r="K42" s="461">
        <f>SUM(K8:K41)</f>
        <v>72.550565872345501</v>
      </c>
      <c r="L42" s="461">
        <f>SUM(L8:L41)</f>
        <v>580.40452697876401</v>
      </c>
      <c r="M42" s="462"/>
      <c r="N42" s="464"/>
      <c r="O42" s="463"/>
      <c r="P42" s="461">
        <f>SUM(P8:P41)</f>
        <v>31667.098864288611</v>
      </c>
      <c r="Q42" s="462"/>
      <c r="R42" s="463"/>
      <c r="S42" s="465">
        <f>SUM(S8:S41)</f>
        <v>3718.3666666666663</v>
      </c>
      <c r="T42" s="461">
        <f>SUM(T8:T41)</f>
        <v>136513.13898240682</v>
      </c>
      <c r="U42" s="467" t="s">
        <v>397</v>
      </c>
      <c r="V42" s="468"/>
    </row>
    <row r="43" spans="1:22" x14ac:dyDescent="0.2">
      <c r="C43" s="469" t="s">
        <v>569</v>
      </c>
      <c r="N43" s="470"/>
      <c r="S43" s="471">
        <v>0.3</v>
      </c>
      <c r="T43" s="503">
        <f>T42*1.3</f>
        <v>177467.08067712886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Wood!A1" display="Wood!A1"/>
    <hyperlink ref="D14" location="Wood!A1" display="Wood!A1"/>
    <hyperlink ref="D16" location="Wood!A1" display="Wood!A1"/>
    <hyperlink ref="D18" location="Wood!A1" display="Wood!A1"/>
    <hyperlink ref="D23" location="Wood!A1" display="Wood!A1"/>
    <hyperlink ref="D27" location="Wood!A1" display="Wood!A1"/>
    <hyperlink ref="D31" location="Wood!A1" display="Wood!A1"/>
    <hyperlink ref="D35" location="Wood!A1" display="Wood!A1"/>
    <hyperlink ref="D37" location="Wood!A1" display="Wood!A1"/>
    <hyperlink ref="D39" location="Wood!A1" display="Wood!A1"/>
    <hyperlink ref="D40" location="Wood!A1" display="Wood!A1"/>
    <hyperlink ref="D41" location="Wood!A1" display="Wood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pane xSplit="14" ySplit="6" topLeftCell="P7" activePane="bottomRight" state="frozen"/>
      <selection pane="topRight" activeCell="O1" sqref="O1"/>
      <selection pane="bottomLeft" activeCell="A7" sqref="A7"/>
      <selection pane="bottomRight" sqref="A1:XFD1048576"/>
    </sheetView>
  </sheetViews>
  <sheetFormatPr defaultRowHeight="15" x14ac:dyDescent="0.25"/>
  <cols>
    <col min="1" max="3" width="9.140625" style="89"/>
    <col min="4" max="16384" width="9.140625" style="194"/>
  </cols>
  <sheetData>
    <row r="1" spans="1:18" ht="18" x14ac:dyDescent="0.25">
      <c r="A1" s="47"/>
      <c r="C1" s="47"/>
      <c r="D1" s="2"/>
      <c r="E1" s="3" t="s">
        <v>0</v>
      </c>
      <c r="F1" s="3"/>
      <c r="G1" s="4"/>
      <c r="H1" s="4"/>
      <c r="I1" s="5"/>
      <c r="J1" s="5"/>
      <c r="K1" s="6"/>
      <c r="L1" s="605" t="s">
        <v>22</v>
      </c>
      <c r="M1" s="605"/>
      <c r="N1" s="529"/>
      <c r="O1" s="8"/>
    </row>
    <row r="2" spans="1:18" ht="15.75" x14ac:dyDescent="0.25">
      <c r="A2" s="47"/>
      <c r="C2" s="47"/>
      <c r="D2" s="9"/>
      <c r="E2" s="10"/>
      <c r="F2" s="10"/>
      <c r="G2" s="10"/>
      <c r="H2" s="10"/>
      <c r="I2" s="10"/>
      <c r="J2" s="10"/>
      <c r="K2" s="6"/>
      <c r="L2" s="606" t="s">
        <v>21</v>
      </c>
      <c r="M2" s="606"/>
      <c r="N2" s="11"/>
      <c r="O2" s="12"/>
    </row>
    <row r="3" spans="1:18" x14ac:dyDescent="0.25">
      <c r="A3" s="48"/>
      <c r="B3" s="534"/>
      <c r="C3" s="49"/>
      <c r="D3" s="605" t="s">
        <v>17</v>
      </c>
      <c r="E3" s="605"/>
      <c r="F3" s="605"/>
      <c r="G3" s="529"/>
      <c r="H3" s="529"/>
      <c r="I3" s="529"/>
      <c r="J3" s="6"/>
      <c r="K3" s="6"/>
      <c r="L3" s="606" t="s">
        <v>20</v>
      </c>
      <c r="M3" s="606"/>
      <c r="N3" s="11"/>
      <c r="O3" s="12"/>
    </row>
    <row r="4" spans="1:18" x14ac:dyDescent="0.25">
      <c r="A4" s="607" t="s">
        <v>18</v>
      </c>
      <c r="B4" s="607"/>
      <c r="C4" s="607"/>
      <c r="D4" s="608" t="s">
        <v>23</v>
      </c>
      <c r="E4" s="608"/>
      <c r="F4" s="608"/>
      <c r="G4" s="13"/>
      <c r="H4" s="13"/>
      <c r="I4" s="13"/>
      <c r="J4" s="13"/>
      <c r="K4" s="13"/>
      <c r="L4" s="608" t="s">
        <v>19</v>
      </c>
      <c r="M4" s="608"/>
      <c r="N4" s="13"/>
      <c r="O4" s="14"/>
    </row>
    <row r="5" spans="1:18" x14ac:dyDescent="0.25">
      <c r="A5" s="50"/>
      <c r="B5" s="51"/>
      <c r="C5" s="52"/>
      <c r="D5" s="17" t="s">
        <v>2</v>
      </c>
      <c r="E5" s="18" t="s">
        <v>3</v>
      </c>
      <c r="F5" s="19"/>
      <c r="G5" s="19"/>
      <c r="H5" s="19"/>
      <c r="I5" s="15"/>
      <c r="J5" s="20"/>
      <c r="K5" s="15"/>
      <c r="L5" s="20"/>
      <c r="M5" s="15"/>
      <c r="N5" s="20"/>
      <c r="O5" s="17" t="s">
        <v>4</v>
      </c>
      <c r="P5" s="44"/>
      <c r="Q5" s="16"/>
      <c r="R5" s="45"/>
    </row>
    <row r="6" spans="1:18" ht="15.75" thickBot="1" x14ac:dyDescent="0.3">
      <c r="A6" s="53" t="s">
        <v>5</v>
      </c>
      <c r="B6" s="54"/>
      <c r="C6" s="55"/>
      <c r="D6" s="41" t="s">
        <v>6</v>
      </c>
      <c r="E6" s="42" t="s">
        <v>7</v>
      </c>
      <c r="F6" s="42" t="s">
        <v>8</v>
      </c>
      <c r="G6" s="42" t="s">
        <v>9</v>
      </c>
      <c r="H6" s="41" t="s">
        <v>10</v>
      </c>
      <c r="I6" s="42" t="s">
        <v>11</v>
      </c>
      <c r="J6" s="42" t="s">
        <v>12</v>
      </c>
      <c r="K6" s="42" t="s">
        <v>13</v>
      </c>
      <c r="L6" s="43" t="s">
        <v>12</v>
      </c>
      <c r="M6" s="42" t="s">
        <v>14</v>
      </c>
      <c r="N6" s="43" t="s">
        <v>12</v>
      </c>
      <c r="O6" s="41" t="s">
        <v>15</v>
      </c>
      <c r="P6" s="590" t="s">
        <v>40</v>
      </c>
      <c r="Q6" s="591"/>
      <c r="R6" s="592"/>
    </row>
    <row r="7" spans="1:18" x14ac:dyDescent="0.25">
      <c r="A7" s="593"/>
      <c r="B7" s="594"/>
      <c r="C7" s="595"/>
      <c r="D7" s="38"/>
      <c r="E7" s="535"/>
      <c r="F7" s="39"/>
      <c r="G7" s="536"/>
      <c r="H7" s="40"/>
      <c r="I7" s="535"/>
      <c r="J7" s="40"/>
      <c r="K7" s="56"/>
      <c r="L7" s="57"/>
      <c r="M7" s="535"/>
      <c r="N7" s="40"/>
      <c r="O7" s="83"/>
      <c r="P7" s="596"/>
      <c r="Q7" s="597"/>
      <c r="R7" s="598"/>
    </row>
    <row r="8" spans="1:18" x14ac:dyDescent="0.25">
      <c r="A8" s="599"/>
      <c r="B8" s="600"/>
      <c r="C8" s="601"/>
      <c r="D8" s="22"/>
      <c r="E8" s="530"/>
      <c r="F8" s="84"/>
      <c r="G8" s="531"/>
      <c r="H8" s="23"/>
      <c r="I8" s="530"/>
      <c r="J8" s="24"/>
      <c r="K8" s="58"/>
      <c r="L8" s="23"/>
      <c r="M8" s="530"/>
      <c r="N8" s="23"/>
      <c r="O8" s="77"/>
      <c r="P8" s="602"/>
      <c r="Q8" s="603"/>
      <c r="R8" s="604"/>
    </row>
    <row r="9" spans="1:18" x14ac:dyDescent="0.25">
      <c r="A9" s="599"/>
      <c r="B9" s="600"/>
      <c r="C9" s="601"/>
      <c r="D9" s="22"/>
      <c r="E9" s="530"/>
      <c r="F9" s="84"/>
      <c r="G9" s="531"/>
      <c r="H9" s="23"/>
      <c r="I9" s="530"/>
      <c r="J9" s="23"/>
      <c r="K9" s="58"/>
      <c r="L9" s="23"/>
      <c r="M9" s="530"/>
      <c r="N9" s="23"/>
      <c r="O9" s="77"/>
      <c r="P9" s="602"/>
      <c r="Q9" s="603"/>
      <c r="R9" s="604"/>
    </row>
    <row r="10" spans="1:18" x14ac:dyDescent="0.25">
      <c r="A10" s="599"/>
      <c r="B10" s="600"/>
      <c r="C10" s="601"/>
      <c r="D10" s="22"/>
      <c r="E10" s="530"/>
      <c r="F10" s="84"/>
      <c r="G10" s="531"/>
      <c r="H10" s="23"/>
      <c r="I10" s="530"/>
      <c r="J10" s="23"/>
      <c r="K10" s="58"/>
      <c r="L10" s="23"/>
      <c r="M10" s="530"/>
      <c r="N10" s="23"/>
      <c r="O10" s="77"/>
      <c r="P10" s="602"/>
      <c r="Q10" s="603"/>
      <c r="R10" s="604"/>
    </row>
    <row r="11" spans="1:18" x14ac:dyDescent="0.25">
      <c r="A11" s="599"/>
      <c r="B11" s="600"/>
      <c r="C11" s="601"/>
      <c r="D11" s="25"/>
      <c r="E11" s="530"/>
      <c r="F11" s="84"/>
      <c r="G11" s="531"/>
      <c r="H11" s="23"/>
      <c r="I11" s="530"/>
      <c r="J11" s="23"/>
      <c r="K11" s="58"/>
      <c r="L11" s="23"/>
      <c r="M11" s="530"/>
      <c r="N11" s="23"/>
      <c r="O11" s="77"/>
      <c r="P11" s="602"/>
      <c r="Q11" s="603"/>
      <c r="R11" s="604"/>
    </row>
    <row r="12" spans="1:18" x14ac:dyDescent="0.25">
      <c r="A12" s="599"/>
      <c r="B12" s="600"/>
      <c r="C12" s="601"/>
      <c r="D12" s="25"/>
      <c r="E12" s="530"/>
      <c r="F12" s="84"/>
      <c r="G12" s="531"/>
      <c r="H12" s="23"/>
      <c r="I12" s="530"/>
      <c r="J12" s="23"/>
      <c r="K12" s="58"/>
      <c r="L12" s="23"/>
      <c r="M12" s="530"/>
      <c r="N12" s="23"/>
      <c r="O12" s="77"/>
      <c r="P12" s="602"/>
      <c r="Q12" s="603"/>
      <c r="R12" s="604"/>
    </row>
    <row r="13" spans="1:18" x14ac:dyDescent="0.25">
      <c r="A13" s="599"/>
      <c r="B13" s="600"/>
      <c r="C13" s="601"/>
      <c r="D13" s="25"/>
      <c r="E13" s="530"/>
      <c r="F13" s="84"/>
      <c r="G13" s="531"/>
      <c r="H13" s="23"/>
      <c r="I13" s="530"/>
      <c r="J13" s="82"/>
      <c r="K13" s="58"/>
      <c r="L13" s="24"/>
      <c r="M13" s="530"/>
      <c r="N13" s="23"/>
      <c r="O13" s="77"/>
      <c r="P13" s="602"/>
      <c r="Q13" s="603"/>
      <c r="R13" s="604"/>
    </row>
    <row r="14" spans="1:18" x14ac:dyDescent="0.25">
      <c r="A14" s="599"/>
      <c r="B14" s="600"/>
      <c r="C14" s="601"/>
      <c r="D14" s="25"/>
      <c r="E14" s="530"/>
      <c r="F14" s="84"/>
      <c r="G14" s="531"/>
      <c r="H14" s="23"/>
      <c r="I14" s="530"/>
      <c r="J14" s="23"/>
      <c r="K14" s="60"/>
      <c r="L14" s="23"/>
      <c r="M14" s="32"/>
      <c r="N14" s="33"/>
      <c r="O14" s="538"/>
      <c r="P14" s="602"/>
      <c r="Q14" s="603"/>
      <c r="R14" s="604"/>
    </row>
    <row r="15" spans="1:18" x14ac:dyDescent="0.25">
      <c r="A15" s="599"/>
      <c r="B15" s="600"/>
      <c r="C15" s="601"/>
      <c r="D15" s="25"/>
      <c r="E15" s="530"/>
      <c r="F15" s="84"/>
      <c r="G15" s="531"/>
      <c r="H15" s="23"/>
      <c r="I15" s="530"/>
      <c r="J15" s="23"/>
      <c r="K15" s="58"/>
      <c r="L15" s="23"/>
      <c r="M15" s="34"/>
      <c r="N15" s="35"/>
      <c r="O15" s="77"/>
      <c r="P15" s="602"/>
      <c r="Q15" s="603"/>
      <c r="R15" s="604"/>
    </row>
    <row r="16" spans="1:18" x14ac:dyDescent="0.25">
      <c r="A16" s="612"/>
      <c r="B16" s="613"/>
      <c r="C16" s="614"/>
      <c r="D16" s="25"/>
      <c r="E16" s="530"/>
      <c r="F16" s="84"/>
      <c r="G16" s="531"/>
      <c r="H16" s="23"/>
      <c r="I16" s="530"/>
      <c r="J16" s="23"/>
      <c r="K16" s="58"/>
      <c r="L16" s="23"/>
      <c r="M16" s="34"/>
      <c r="N16" s="35"/>
      <c r="O16" s="77"/>
      <c r="P16" s="602"/>
      <c r="Q16" s="603"/>
      <c r="R16" s="604"/>
    </row>
    <row r="17" spans="1:18" x14ac:dyDescent="0.25">
      <c r="A17" s="609"/>
      <c r="B17" s="610"/>
      <c r="C17" s="611"/>
      <c r="D17" s="25"/>
      <c r="E17" s="530"/>
      <c r="F17" s="84"/>
      <c r="G17" s="531"/>
      <c r="H17" s="23"/>
      <c r="I17" s="530"/>
      <c r="J17" s="23"/>
      <c r="K17" s="58"/>
      <c r="L17" s="23"/>
      <c r="M17" s="34"/>
      <c r="N17" s="35"/>
      <c r="O17" s="77"/>
      <c r="P17" s="602"/>
      <c r="Q17" s="603"/>
      <c r="R17" s="604"/>
    </row>
    <row r="18" spans="1:18" x14ac:dyDescent="0.25">
      <c r="A18" s="599"/>
      <c r="B18" s="600"/>
      <c r="C18" s="601"/>
      <c r="D18" s="22"/>
      <c r="E18" s="530"/>
      <c r="F18" s="84"/>
      <c r="G18" s="531"/>
      <c r="H18" s="23"/>
      <c r="I18" s="530"/>
      <c r="J18" s="24"/>
      <c r="K18" s="59"/>
      <c r="L18" s="24"/>
      <c r="M18" s="34"/>
      <c r="N18" s="35"/>
      <c r="O18" s="77"/>
      <c r="P18" s="602"/>
      <c r="Q18" s="603"/>
      <c r="R18" s="604"/>
    </row>
    <row r="19" spans="1:18" x14ac:dyDescent="0.25">
      <c r="A19" s="599"/>
      <c r="B19" s="600"/>
      <c r="C19" s="601"/>
      <c r="D19" s="22"/>
      <c r="E19" s="530"/>
      <c r="F19" s="84"/>
      <c r="G19" s="531"/>
      <c r="H19" s="23"/>
      <c r="I19" s="530"/>
      <c r="J19" s="23"/>
      <c r="K19" s="58"/>
      <c r="L19" s="23"/>
      <c r="M19" s="34"/>
      <c r="N19" s="35"/>
      <c r="O19" s="77"/>
      <c r="P19" s="602"/>
      <c r="Q19" s="603"/>
      <c r="R19" s="604"/>
    </row>
    <row r="20" spans="1:18" x14ac:dyDescent="0.25">
      <c r="A20" s="599"/>
      <c r="B20" s="600"/>
      <c r="C20" s="601"/>
      <c r="D20" s="25"/>
      <c r="E20" s="530"/>
      <c r="F20" s="84"/>
      <c r="G20" s="531"/>
      <c r="H20" s="23"/>
      <c r="I20" s="27"/>
      <c r="J20" s="23"/>
      <c r="K20" s="58"/>
      <c r="L20" s="23"/>
      <c r="M20" s="34"/>
      <c r="N20" s="35"/>
      <c r="O20" s="77"/>
      <c r="P20" s="602"/>
      <c r="Q20" s="603"/>
      <c r="R20" s="604"/>
    </row>
    <row r="21" spans="1:18" x14ac:dyDescent="0.25">
      <c r="A21" s="609"/>
      <c r="B21" s="610"/>
      <c r="C21" s="611"/>
      <c r="D21" s="25"/>
      <c r="E21" s="530"/>
      <c r="F21" s="84"/>
      <c r="G21" s="531"/>
      <c r="H21" s="23"/>
      <c r="I21" s="530"/>
      <c r="J21" s="23"/>
      <c r="K21" s="58"/>
      <c r="L21" s="23"/>
      <c r="M21" s="34"/>
      <c r="N21" s="35"/>
      <c r="O21" s="77"/>
      <c r="P21" s="602"/>
      <c r="Q21" s="603"/>
      <c r="R21" s="604"/>
    </row>
    <row r="22" spans="1:18" x14ac:dyDescent="0.25">
      <c r="A22" s="599"/>
      <c r="B22" s="600"/>
      <c r="C22" s="601"/>
      <c r="D22" s="25"/>
      <c r="E22" s="530"/>
      <c r="F22" s="84"/>
      <c r="G22" s="531"/>
      <c r="H22" s="23"/>
      <c r="I22" s="530"/>
      <c r="J22" s="23"/>
      <c r="K22" s="58"/>
      <c r="L22" s="23"/>
      <c r="M22" s="34"/>
      <c r="N22" s="35"/>
      <c r="O22" s="77"/>
      <c r="P22" s="602"/>
      <c r="Q22" s="603"/>
      <c r="R22" s="604"/>
    </row>
    <row r="23" spans="1:18" x14ac:dyDescent="0.25">
      <c r="A23" s="599"/>
      <c r="B23" s="600"/>
      <c r="C23" s="601"/>
      <c r="D23" s="25"/>
      <c r="E23" s="530"/>
      <c r="F23" s="84"/>
      <c r="G23" s="531"/>
      <c r="H23" s="23"/>
      <c r="I23" s="530"/>
      <c r="J23" s="23"/>
      <c r="K23" s="58"/>
      <c r="L23" s="23"/>
      <c r="M23" s="34"/>
      <c r="N23" s="35"/>
      <c r="O23" s="77"/>
      <c r="P23" s="602"/>
      <c r="Q23" s="603"/>
      <c r="R23" s="604"/>
    </row>
    <row r="24" spans="1:18" x14ac:dyDescent="0.25">
      <c r="A24" s="616"/>
      <c r="B24" s="617"/>
      <c r="C24" s="618"/>
      <c r="D24" s="25"/>
      <c r="E24" s="530"/>
      <c r="F24" s="84"/>
      <c r="G24" s="531"/>
      <c r="H24" s="23"/>
      <c r="I24" s="530"/>
      <c r="J24" s="23"/>
      <c r="K24" s="58"/>
      <c r="L24" s="23"/>
      <c r="M24" s="34"/>
      <c r="N24" s="35"/>
      <c r="O24" s="77"/>
      <c r="P24" s="602"/>
      <c r="Q24" s="603"/>
      <c r="R24" s="604"/>
    </row>
    <row r="25" spans="1:18" x14ac:dyDescent="0.25">
      <c r="A25" s="615"/>
      <c r="B25" s="600"/>
      <c r="C25" s="601"/>
      <c r="D25" s="78"/>
      <c r="E25" s="530"/>
      <c r="F25" s="84"/>
      <c r="G25" s="531"/>
      <c r="H25" s="23"/>
      <c r="I25" s="27"/>
      <c r="J25" s="23"/>
      <c r="K25" s="58"/>
      <c r="L25" s="23"/>
      <c r="M25" s="34"/>
      <c r="N25" s="35"/>
      <c r="O25" s="77"/>
      <c r="P25" s="602"/>
      <c r="Q25" s="603"/>
      <c r="R25" s="604"/>
    </row>
    <row r="26" spans="1:18" x14ac:dyDescent="0.25">
      <c r="A26" s="615"/>
      <c r="B26" s="600"/>
      <c r="C26" s="601"/>
      <c r="D26" s="78"/>
      <c r="E26" s="530"/>
      <c r="F26" s="84"/>
      <c r="G26" s="531"/>
      <c r="H26" s="23"/>
      <c r="I26" s="530"/>
      <c r="J26" s="23"/>
      <c r="K26" s="58"/>
      <c r="L26" s="23"/>
      <c r="M26" s="34"/>
      <c r="N26" s="35"/>
      <c r="O26" s="77"/>
      <c r="P26" s="602"/>
      <c r="Q26" s="603"/>
      <c r="R26" s="604"/>
    </row>
    <row r="27" spans="1:18" x14ac:dyDescent="0.25">
      <c r="A27" s="615"/>
      <c r="B27" s="600"/>
      <c r="C27" s="601"/>
      <c r="D27" s="78"/>
      <c r="E27" s="530"/>
      <c r="F27" s="84"/>
      <c r="G27" s="531"/>
      <c r="H27" s="23"/>
      <c r="I27" s="530"/>
      <c r="J27" s="23"/>
      <c r="K27" s="58"/>
      <c r="L27" s="23"/>
      <c r="M27" s="34"/>
      <c r="N27" s="35"/>
      <c r="O27" s="77"/>
      <c r="P27" s="602"/>
      <c r="Q27" s="603"/>
      <c r="R27" s="604"/>
    </row>
    <row r="28" spans="1:18" x14ac:dyDescent="0.25">
      <c r="A28" s="615"/>
      <c r="B28" s="600"/>
      <c r="C28" s="601"/>
      <c r="D28" s="78"/>
      <c r="E28" s="530"/>
      <c r="F28" s="84"/>
      <c r="G28" s="531"/>
      <c r="H28" s="23"/>
      <c r="I28" s="530"/>
      <c r="J28" s="23"/>
      <c r="K28" s="58"/>
      <c r="L28" s="23"/>
      <c r="M28" s="34"/>
      <c r="N28" s="35"/>
      <c r="O28" s="77"/>
      <c r="P28" s="602"/>
      <c r="Q28" s="603"/>
      <c r="R28" s="604"/>
    </row>
    <row r="29" spans="1:18" x14ac:dyDescent="0.25">
      <c r="A29" s="615"/>
      <c r="B29" s="600"/>
      <c r="C29" s="601"/>
      <c r="D29" s="78"/>
      <c r="E29" s="530"/>
      <c r="F29" s="84"/>
      <c r="G29" s="531"/>
      <c r="H29" s="23"/>
      <c r="I29" s="530"/>
      <c r="J29" s="23"/>
      <c r="K29" s="58"/>
      <c r="L29" s="23"/>
      <c r="M29" s="34"/>
      <c r="N29" s="35"/>
      <c r="O29" s="77"/>
      <c r="P29" s="602"/>
      <c r="Q29" s="603"/>
      <c r="R29" s="604"/>
    </row>
    <row r="30" spans="1:18" x14ac:dyDescent="0.25">
      <c r="A30" s="615"/>
      <c r="B30" s="600"/>
      <c r="C30" s="601"/>
      <c r="D30" s="78"/>
      <c r="E30" s="530"/>
      <c r="F30" s="84"/>
      <c r="G30" s="531"/>
      <c r="H30" s="23"/>
      <c r="I30" s="530"/>
      <c r="J30" s="23"/>
      <c r="K30" s="58"/>
      <c r="L30" s="23"/>
      <c r="M30" s="34"/>
      <c r="N30" s="35"/>
      <c r="O30" s="77"/>
      <c r="P30" s="602"/>
      <c r="Q30" s="603"/>
      <c r="R30" s="604"/>
    </row>
    <row r="31" spans="1:18" x14ac:dyDescent="0.25">
      <c r="A31" s="615"/>
      <c r="B31" s="600"/>
      <c r="C31" s="601"/>
      <c r="D31" s="78"/>
      <c r="E31" s="530"/>
      <c r="F31" s="84"/>
      <c r="G31" s="531"/>
      <c r="H31" s="23"/>
      <c r="I31" s="530"/>
      <c r="J31" s="23"/>
      <c r="K31" s="58"/>
      <c r="L31" s="23"/>
      <c r="M31" s="34"/>
      <c r="N31" s="35"/>
      <c r="O31" s="77"/>
      <c r="P31" s="602"/>
      <c r="Q31" s="603"/>
      <c r="R31" s="604"/>
    </row>
    <row r="32" spans="1:18" x14ac:dyDescent="0.25">
      <c r="A32" s="619"/>
      <c r="B32" s="620"/>
      <c r="C32" s="621"/>
      <c r="D32" s="25"/>
      <c r="E32" s="530"/>
      <c r="F32" s="84"/>
      <c r="G32" s="531"/>
      <c r="H32" s="23"/>
      <c r="I32" s="530"/>
      <c r="J32" s="23"/>
      <c r="K32" s="58"/>
      <c r="L32" s="23"/>
      <c r="M32" s="34"/>
      <c r="N32" s="35"/>
      <c r="O32" s="77"/>
      <c r="P32" s="602"/>
      <c r="Q32" s="603"/>
      <c r="R32" s="604"/>
    </row>
    <row r="33" spans="1:18" x14ac:dyDescent="0.25">
      <c r="A33" s="599"/>
      <c r="B33" s="600"/>
      <c r="C33" s="601"/>
      <c r="D33" s="22"/>
      <c r="E33" s="530"/>
      <c r="F33" s="84"/>
      <c r="G33" s="531"/>
      <c r="H33" s="23"/>
      <c r="I33" s="530"/>
      <c r="J33" s="23"/>
      <c r="K33" s="58"/>
      <c r="L33" s="23"/>
      <c r="M33" s="34"/>
      <c r="N33" s="35"/>
      <c r="O33" s="77"/>
      <c r="P33" s="602"/>
      <c r="Q33" s="603"/>
      <c r="R33" s="604"/>
    </row>
    <row r="34" spans="1:18" x14ac:dyDescent="0.25">
      <c r="A34" s="599"/>
      <c r="B34" s="600"/>
      <c r="C34" s="601"/>
      <c r="D34" s="25"/>
      <c r="E34" s="530"/>
      <c r="F34" s="84"/>
      <c r="G34" s="531"/>
      <c r="H34" s="23"/>
      <c r="I34" s="530"/>
      <c r="J34" s="23"/>
      <c r="K34" s="58"/>
      <c r="L34" s="24"/>
      <c r="M34" s="34"/>
      <c r="N34" s="35"/>
      <c r="O34" s="77"/>
      <c r="P34" s="602"/>
      <c r="Q34" s="603"/>
      <c r="R34" s="604"/>
    </row>
    <row r="35" spans="1:18" x14ac:dyDescent="0.25">
      <c r="A35" s="599"/>
      <c r="B35" s="600"/>
      <c r="C35" s="601"/>
      <c r="D35" s="25"/>
      <c r="E35" s="530"/>
      <c r="F35" s="84"/>
      <c r="G35" s="531"/>
      <c r="H35" s="23"/>
      <c r="I35" s="530"/>
      <c r="J35" s="23"/>
      <c r="K35" s="60"/>
      <c r="L35" s="23"/>
      <c r="M35" s="32"/>
      <c r="N35" s="33"/>
      <c r="O35" s="77"/>
      <c r="P35" s="602"/>
      <c r="Q35" s="603"/>
      <c r="R35" s="604"/>
    </row>
    <row r="36" spans="1:18" x14ac:dyDescent="0.25">
      <c r="A36" s="599"/>
      <c r="B36" s="600"/>
      <c r="C36" s="601"/>
      <c r="D36" s="25"/>
      <c r="E36" s="530"/>
      <c r="F36" s="84"/>
      <c r="G36" s="531"/>
      <c r="H36" s="23"/>
      <c r="I36" s="530"/>
      <c r="J36" s="23"/>
      <c r="K36" s="58"/>
      <c r="L36" s="23"/>
      <c r="M36" s="34"/>
      <c r="N36" s="35"/>
      <c r="O36" s="77"/>
      <c r="P36" s="602"/>
      <c r="Q36" s="603"/>
      <c r="R36" s="604"/>
    </row>
    <row r="37" spans="1:18" x14ac:dyDescent="0.25">
      <c r="A37" s="612"/>
      <c r="B37" s="613"/>
      <c r="C37" s="614"/>
      <c r="D37" s="25"/>
      <c r="E37" s="530"/>
      <c r="F37" s="84"/>
      <c r="G37" s="531"/>
      <c r="H37" s="23"/>
      <c r="I37" s="530"/>
      <c r="J37" s="23"/>
      <c r="K37" s="58"/>
      <c r="L37" s="23"/>
      <c r="M37" s="34"/>
      <c r="N37" s="35"/>
      <c r="O37" s="77"/>
      <c r="P37" s="602"/>
      <c r="Q37" s="603"/>
      <c r="R37" s="604"/>
    </row>
    <row r="38" spans="1:18" x14ac:dyDescent="0.25">
      <c r="A38" s="609"/>
      <c r="B38" s="610"/>
      <c r="C38" s="611"/>
      <c r="D38" s="25"/>
      <c r="E38" s="530"/>
      <c r="F38" s="84"/>
      <c r="G38" s="531"/>
      <c r="H38" s="23"/>
      <c r="I38" s="530"/>
      <c r="J38" s="23"/>
      <c r="K38" s="58"/>
      <c r="L38" s="23"/>
      <c r="M38" s="34"/>
      <c r="N38" s="35"/>
      <c r="O38" s="77"/>
      <c r="P38" s="602"/>
      <c r="Q38" s="603"/>
      <c r="R38" s="604"/>
    </row>
    <row r="39" spans="1:18" x14ac:dyDescent="0.25">
      <c r="A39" s="599"/>
      <c r="B39" s="600"/>
      <c r="C39" s="601"/>
      <c r="D39" s="25"/>
      <c r="E39" s="530"/>
      <c r="F39" s="84"/>
      <c r="G39" s="531"/>
      <c r="H39" s="23"/>
      <c r="I39" s="27"/>
      <c r="J39" s="23"/>
      <c r="K39" s="58"/>
      <c r="L39" s="23"/>
      <c r="M39" s="34"/>
      <c r="N39" s="35"/>
      <c r="O39" s="77"/>
      <c r="P39" s="602"/>
      <c r="Q39" s="603"/>
      <c r="R39" s="604"/>
    </row>
    <row r="40" spans="1:18" x14ac:dyDescent="0.25">
      <c r="A40" s="599"/>
      <c r="B40" s="600"/>
      <c r="C40" s="601"/>
      <c r="D40" s="25"/>
      <c r="E40" s="530"/>
      <c r="F40" s="84"/>
      <c r="G40" s="531"/>
      <c r="H40" s="23"/>
      <c r="I40" s="530"/>
      <c r="J40" s="23"/>
      <c r="K40" s="58"/>
      <c r="L40" s="23"/>
      <c r="M40" s="34"/>
      <c r="N40" s="35"/>
      <c r="O40" s="77"/>
      <c r="P40" s="602"/>
      <c r="Q40" s="603"/>
      <c r="R40" s="604"/>
    </row>
    <row r="41" spans="1:18" x14ac:dyDescent="0.25">
      <c r="A41" s="609"/>
      <c r="B41" s="610"/>
      <c r="C41" s="611"/>
      <c r="D41" s="25"/>
      <c r="E41" s="530"/>
      <c r="F41" s="84"/>
      <c r="G41" s="531"/>
      <c r="H41" s="23"/>
      <c r="I41" s="530"/>
      <c r="J41" s="23"/>
      <c r="K41" s="58"/>
      <c r="L41" s="23"/>
      <c r="M41" s="34"/>
      <c r="N41" s="35"/>
      <c r="O41" s="77"/>
      <c r="P41" s="602"/>
      <c r="Q41" s="603"/>
      <c r="R41" s="604"/>
    </row>
    <row r="42" spans="1:18" x14ac:dyDescent="0.25">
      <c r="A42" s="599"/>
      <c r="B42" s="600"/>
      <c r="C42" s="601"/>
      <c r="D42" s="25"/>
      <c r="E42" s="530"/>
      <c r="F42" s="84"/>
      <c r="G42" s="531"/>
      <c r="H42" s="23"/>
      <c r="I42" s="27"/>
      <c r="J42" s="23"/>
      <c r="K42" s="58"/>
      <c r="L42" s="23"/>
      <c r="M42" s="34"/>
      <c r="N42" s="35"/>
      <c r="O42" s="77"/>
      <c r="P42" s="602"/>
      <c r="Q42" s="603"/>
      <c r="R42" s="604"/>
    </row>
    <row r="43" spans="1:18" x14ac:dyDescent="0.25">
      <c r="A43" s="599"/>
      <c r="B43" s="600"/>
      <c r="C43" s="601"/>
      <c r="D43" s="25"/>
      <c r="E43" s="530"/>
      <c r="F43" s="84"/>
      <c r="G43" s="531"/>
      <c r="H43" s="23"/>
      <c r="I43" s="27"/>
      <c r="J43" s="23"/>
      <c r="K43" s="58"/>
      <c r="L43" s="23"/>
      <c r="M43" s="34"/>
      <c r="N43" s="35"/>
      <c r="O43" s="77"/>
      <c r="P43" s="602"/>
      <c r="Q43" s="603"/>
      <c r="R43" s="604"/>
    </row>
    <row r="44" spans="1:18" x14ac:dyDescent="0.25">
      <c r="A44" s="599"/>
      <c r="B44" s="600"/>
      <c r="C44" s="601"/>
      <c r="D44" s="25"/>
      <c r="E44" s="530"/>
      <c r="F44" s="84"/>
      <c r="G44" s="531"/>
      <c r="H44" s="23"/>
      <c r="I44" s="27"/>
      <c r="J44" s="23"/>
      <c r="K44" s="58"/>
      <c r="L44" s="23"/>
      <c r="M44" s="34"/>
      <c r="N44" s="35"/>
      <c r="O44" s="77"/>
      <c r="P44" s="602"/>
      <c r="Q44" s="603"/>
      <c r="R44" s="604"/>
    </row>
    <row r="45" spans="1:18" x14ac:dyDescent="0.25">
      <c r="A45" s="609"/>
      <c r="B45" s="610"/>
      <c r="C45" s="611"/>
      <c r="D45" s="25"/>
      <c r="E45" s="530"/>
      <c r="F45" s="84"/>
      <c r="G45" s="531"/>
      <c r="H45" s="23"/>
      <c r="I45" s="530"/>
      <c r="J45" s="23"/>
      <c r="K45" s="58"/>
      <c r="L45" s="23"/>
      <c r="M45" s="34"/>
      <c r="N45" s="35"/>
      <c r="O45" s="77"/>
      <c r="P45" s="602"/>
      <c r="Q45" s="603"/>
      <c r="R45" s="604"/>
    </row>
    <row r="46" spans="1:18" x14ac:dyDescent="0.25">
      <c r="A46" s="599"/>
      <c r="B46" s="600"/>
      <c r="C46" s="601"/>
      <c r="D46" s="25"/>
      <c r="E46" s="530"/>
      <c r="F46" s="84"/>
      <c r="G46" s="531"/>
      <c r="H46" s="23"/>
      <c r="I46" s="27"/>
      <c r="J46" s="24"/>
      <c r="K46" s="58"/>
      <c r="L46" s="23"/>
      <c r="M46" s="34"/>
      <c r="N46" s="35"/>
      <c r="O46" s="77"/>
      <c r="P46" s="602"/>
      <c r="Q46" s="603"/>
      <c r="R46" s="604"/>
    </row>
    <row r="47" spans="1:18" x14ac:dyDescent="0.25">
      <c r="A47" s="599"/>
      <c r="B47" s="600"/>
      <c r="C47" s="601"/>
      <c r="D47" s="25"/>
      <c r="E47" s="530"/>
      <c r="F47" s="84"/>
      <c r="G47" s="531"/>
      <c r="H47" s="23"/>
      <c r="I47" s="27"/>
      <c r="J47" s="23"/>
      <c r="K47" s="58"/>
      <c r="L47" s="23"/>
      <c r="M47" s="34"/>
      <c r="N47" s="35"/>
      <c r="O47" s="77"/>
      <c r="P47" s="602"/>
      <c r="Q47" s="603"/>
      <c r="R47" s="604"/>
    </row>
    <row r="48" spans="1:18" x14ac:dyDescent="0.25">
      <c r="A48" s="599"/>
      <c r="B48" s="600"/>
      <c r="C48" s="601"/>
      <c r="D48" s="25"/>
      <c r="E48" s="530"/>
      <c r="F48" s="84"/>
      <c r="G48" s="531"/>
      <c r="H48" s="23"/>
      <c r="I48" s="27"/>
      <c r="J48" s="23"/>
      <c r="K48" s="58"/>
      <c r="L48" s="23"/>
      <c r="M48" s="34"/>
      <c r="N48" s="35"/>
      <c r="O48" s="77"/>
      <c r="P48" s="602"/>
      <c r="Q48" s="603"/>
      <c r="R48" s="604"/>
    </row>
    <row r="49" spans="1:18" x14ac:dyDescent="0.25">
      <c r="A49" s="599"/>
      <c r="B49" s="600"/>
      <c r="C49" s="601"/>
      <c r="D49" s="25"/>
      <c r="E49" s="530"/>
      <c r="F49" s="84"/>
      <c r="G49" s="531"/>
      <c r="H49" s="23"/>
      <c r="I49" s="27"/>
      <c r="J49" s="23"/>
      <c r="K49" s="58"/>
      <c r="L49" s="23"/>
      <c r="M49" s="34"/>
      <c r="N49" s="35"/>
      <c r="O49" s="77"/>
      <c r="P49" s="602"/>
      <c r="Q49" s="603"/>
      <c r="R49" s="604"/>
    </row>
    <row r="50" spans="1:18" x14ac:dyDescent="0.25">
      <c r="A50" s="599"/>
      <c r="B50" s="600"/>
      <c r="C50" s="601"/>
      <c r="D50" s="25"/>
      <c r="E50" s="530"/>
      <c r="F50" s="84"/>
      <c r="G50" s="537"/>
      <c r="H50" s="23"/>
      <c r="I50" s="27"/>
      <c r="J50" s="23"/>
      <c r="K50" s="58"/>
      <c r="L50" s="23"/>
      <c r="M50" s="34"/>
      <c r="N50" s="35"/>
      <c r="O50" s="77"/>
      <c r="P50" s="602"/>
      <c r="Q50" s="603"/>
      <c r="R50" s="604"/>
    </row>
    <row r="51" spans="1:18" x14ac:dyDescent="0.25">
      <c r="A51" s="609"/>
      <c r="B51" s="610"/>
      <c r="C51" s="611"/>
      <c r="D51" s="25"/>
      <c r="E51" s="530"/>
      <c r="F51" s="84"/>
      <c r="G51" s="531"/>
      <c r="H51" s="23"/>
      <c r="I51" s="530"/>
      <c r="J51" s="23"/>
      <c r="K51" s="58"/>
      <c r="L51" s="23"/>
      <c r="M51" s="34"/>
      <c r="N51" s="35"/>
      <c r="O51" s="77"/>
      <c r="P51" s="602"/>
      <c r="Q51" s="603"/>
      <c r="R51" s="604"/>
    </row>
    <row r="52" spans="1:18" x14ac:dyDescent="0.25">
      <c r="A52" s="599"/>
      <c r="B52" s="600"/>
      <c r="C52" s="601"/>
      <c r="D52" s="25"/>
      <c r="E52" s="530"/>
      <c r="F52" s="84"/>
      <c r="G52" s="531"/>
      <c r="H52" s="23"/>
      <c r="I52" s="530"/>
      <c r="J52" s="23"/>
      <c r="K52" s="58"/>
      <c r="L52" s="23"/>
      <c r="M52" s="34"/>
      <c r="N52" s="35"/>
      <c r="O52" s="77"/>
      <c r="P52" s="602"/>
      <c r="Q52" s="603"/>
      <c r="R52" s="604"/>
    </row>
    <row r="53" spans="1:18" x14ac:dyDescent="0.25">
      <c r="A53" s="599"/>
      <c r="B53" s="600"/>
      <c r="C53" s="601"/>
      <c r="D53" s="25"/>
      <c r="E53" s="530"/>
      <c r="F53" s="84"/>
      <c r="G53" s="531"/>
      <c r="H53" s="23"/>
      <c r="I53" s="530"/>
      <c r="J53" s="23"/>
      <c r="K53" s="61"/>
      <c r="L53" s="24"/>
      <c r="M53" s="34"/>
      <c r="N53" s="35"/>
      <c r="O53" s="77"/>
      <c r="P53" s="602"/>
      <c r="Q53" s="603"/>
      <c r="R53" s="604"/>
    </row>
    <row r="54" spans="1:18" x14ac:dyDescent="0.25">
      <c r="A54" s="599"/>
      <c r="B54" s="600"/>
      <c r="C54" s="601"/>
      <c r="D54" s="25"/>
      <c r="E54" s="530"/>
      <c r="F54" s="84"/>
      <c r="G54" s="531"/>
      <c r="H54" s="23"/>
      <c r="I54" s="530"/>
      <c r="J54" s="23"/>
      <c r="K54" s="60"/>
      <c r="L54" s="23"/>
      <c r="M54" s="32"/>
      <c r="N54" s="33"/>
      <c r="O54" s="77"/>
      <c r="P54" s="602"/>
      <c r="Q54" s="603"/>
      <c r="R54" s="604"/>
    </row>
    <row r="55" spans="1:18" x14ac:dyDescent="0.25">
      <c r="A55" s="599"/>
      <c r="B55" s="600"/>
      <c r="C55" s="601"/>
      <c r="D55" s="25"/>
      <c r="E55" s="530"/>
      <c r="F55" s="84"/>
      <c r="G55" s="531"/>
      <c r="H55" s="23"/>
      <c r="I55" s="530"/>
      <c r="J55" s="23"/>
      <c r="K55" s="58"/>
      <c r="L55" s="23"/>
      <c r="M55" s="34"/>
      <c r="N55" s="35"/>
      <c r="O55" s="77"/>
      <c r="P55" s="602"/>
      <c r="Q55" s="603"/>
      <c r="R55" s="604"/>
    </row>
    <row r="56" spans="1:18" x14ac:dyDescent="0.25">
      <c r="A56" s="612"/>
      <c r="B56" s="613"/>
      <c r="C56" s="614"/>
      <c r="D56" s="25"/>
      <c r="E56" s="530"/>
      <c r="F56" s="84"/>
      <c r="G56" s="531"/>
      <c r="H56" s="23"/>
      <c r="I56" s="530"/>
      <c r="J56" s="23"/>
      <c r="K56" s="58"/>
      <c r="L56" s="23"/>
      <c r="M56" s="34"/>
      <c r="N56" s="35"/>
      <c r="O56" s="77"/>
      <c r="P56" s="602"/>
      <c r="Q56" s="603"/>
      <c r="R56" s="604"/>
    </row>
    <row r="57" spans="1:18" x14ac:dyDescent="0.25">
      <c r="A57" s="599"/>
      <c r="B57" s="600"/>
      <c r="C57" s="601"/>
      <c r="D57" s="22"/>
      <c r="E57" s="530"/>
      <c r="F57" s="84"/>
      <c r="G57" s="531"/>
      <c r="H57" s="23"/>
      <c r="I57" s="530"/>
      <c r="J57" s="24"/>
      <c r="K57" s="58"/>
      <c r="L57" s="23"/>
      <c r="M57" s="34"/>
      <c r="N57" s="35"/>
      <c r="O57" s="77"/>
      <c r="P57" s="602"/>
      <c r="Q57" s="603"/>
      <c r="R57" s="604"/>
    </row>
    <row r="58" spans="1:18" x14ac:dyDescent="0.25">
      <c r="A58" s="599"/>
      <c r="B58" s="600"/>
      <c r="C58" s="601"/>
      <c r="D58" s="25"/>
      <c r="E58" s="530"/>
      <c r="F58" s="84"/>
      <c r="G58" s="531"/>
      <c r="H58" s="23"/>
      <c r="I58" s="27"/>
      <c r="J58" s="23"/>
      <c r="K58" s="58"/>
      <c r="L58" s="23"/>
      <c r="M58" s="34"/>
      <c r="N58" s="35"/>
      <c r="O58" s="77"/>
      <c r="P58" s="602"/>
      <c r="Q58" s="603"/>
      <c r="R58" s="604"/>
    </row>
    <row r="59" spans="1:18" x14ac:dyDescent="0.25">
      <c r="A59" s="599"/>
      <c r="B59" s="600"/>
      <c r="C59" s="601"/>
      <c r="D59" s="25"/>
      <c r="E59" s="530"/>
      <c r="F59" s="84"/>
      <c r="G59" s="531"/>
      <c r="H59" s="23"/>
      <c r="I59" s="530"/>
      <c r="J59" s="23"/>
      <c r="K59" s="61"/>
      <c r="L59" s="24"/>
      <c r="M59" s="34"/>
      <c r="N59" s="35"/>
      <c r="O59" s="77"/>
      <c r="P59" s="602"/>
      <c r="Q59" s="603"/>
      <c r="R59" s="604"/>
    </row>
    <row r="60" spans="1:18" x14ac:dyDescent="0.25">
      <c r="A60" s="625"/>
      <c r="B60" s="625"/>
      <c r="C60" s="615"/>
      <c r="D60" s="68"/>
      <c r="E60" s="58"/>
      <c r="F60" s="84"/>
      <c r="G60" s="84"/>
      <c r="H60" s="82"/>
      <c r="I60" s="58"/>
      <c r="J60" s="82"/>
      <c r="K60" s="60"/>
      <c r="L60" s="82"/>
      <c r="M60" s="67"/>
      <c r="N60" s="65"/>
      <c r="O60" s="66"/>
      <c r="P60" s="602"/>
      <c r="Q60" s="603"/>
      <c r="R60" s="604"/>
    </row>
    <row r="61" spans="1:18" x14ac:dyDescent="0.25">
      <c r="A61" s="622"/>
      <c r="B61" s="623"/>
      <c r="C61" s="624"/>
      <c r="D61" s="63"/>
      <c r="E61" s="535"/>
      <c r="F61" s="39"/>
      <c r="G61" s="536"/>
      <c r="H61" s="40"/>
      <c r="I61" s="535"/>
      <c r="J61" s="40"/>
      <c r="K61" s="64"/>
      <c r="L61" s="40"/>
      <c r="M61" s="535"/>
      <c r="N61" s="40"/>
      <c r="O61" s="83"/>
      <c r="P61" s="602"/>
      <c r="Q61" s="603"/>
      <c r="R61" s="604"/>
    </row>
    <row r="62" spans="1:18" x14ac:dyDescent="0.25">
      <c r="A62" s="599"/>
      <c r="B62" s="600"/>
      <c r="C62" s="601"/>
      <c r="D62" s="25"/>
      <c r="E62" s="530"/>
      <c r="F62" s="84"/>
      <c r="G62" s="531"/>
      <c r="H62" s="23"/>
      <c r="I62" s="530"/>
      <c r="J62" s="23"/>
      <c r="K62" s="58"/>
      <c r="L62" s="23"/>
      <c r="M62" s="530"/>
      <c r="N62" s="23"/>
      <c r="O62" s="77"/>
      <c r="P62" s="602"/>
      <c r="Q62" s="603"/>
      <c r="R62" s="604"/>
    </row>
    <row r="63" spans="1:18" x14ac:dyDescent="0.25">
      <c r="A63" s="599"/>
      <c r="B63" s="600"/>
      <c r="C63" s="601"/>
      <c r="D63" s="25"/>
      <c r="E63" s="530"/>
      <c r="F63" s="84"/>
      <c r="G63" s="531"/>
      <c r="H63" s="23"/>
      <c r="I63" s="530"/>
      <c r="J63" s="23"/>
      <c r="K63" s="58"/>
      <c r="L63" s="23"/>
      <c r="M63" s="530"/>
      <c r="N63" s="23"/>
      <c r="O63" s="77"/>
      <c r="P63" s="602"/>
      <c r="Q63" s="603"/>
      <c r="R63" s="604"/>
    </row>
    <row r="64" spans="1:18" x14ac:dyDescent="0.25">
      <c r="A64" s="599"/>
      <c r="B64" s="600"/>
      <c r="C64" s="601"/>
      <c r="D64" s="25"/>
      <c r="E64" s="530"/>
      <c r="F64" s="84"/>
      <c r="G64" s="531"/>
      <c r="H64" s="23"/>
      <c r="I64" s="530"/>
      <c r="J64" s="23"/>
      <c r="K64" s="58"/>
      <c r="L64" s="24"/>
      <c r="M64" s="530"/>
      <c r="N64" s="23"/>
      <c r="O64" s="77"/>
      <c r="P64" s="602"/>
      <c r="Q64" s="603"/>
      <c r="R64" s="604"/>
    </row>
    <row r="65" spans="1:18" x14ac:dyDescent="0.25">
      <c r="A65" s="599"/>
      <c r="B65" s="600"/>
      <c r="C65" s="601"/>
      <c r="D65" s="25"/>
      <c r="E65" s="530"/>
      <c r="F65" s="84"/>
      <c r="G65" s="531"/>
      <c r="H65" s="23"/>
      <c r="I65" s="530"/>
      <c r="J65" s="23"/>
      <c r="K65" s="60"/>
      <c r="L65" s="23"/>
      <c r="M65" s="32"/>
      <c r="N65" s="33"/>
      <c r="O65" s="538"/>
      <c r="P65" s="602"/>
      <c r="Q65" s="603"/>
      <c r="R65" s="604"/>
    </row>
    <row r="66" spans="1:18" x14ac:dyDescent="0.25">
      <c r="A66" s="599"/>
      <c r="B66" s="600"/>
      <c r="C66" s="601"/>
      <c r="D66" s="25"/>
      <c r="E66" s="530"/>
      <c r="F66" s="84"/>
      <c r="G66" s="531"/>
      <c r="H66" s="23"/>
      <c r="I66" s="530"/>
      <c r="J66" s="23"/>
      <c r="K66" s="58"/>
      <c r="L66" s="23"/>
      <c r="M66" s="34"/>
      <c r="N66" s="35"/>
      <c r="O66" s="77"/>
      <c r="P66" s="602"/>
      <c r="Q66" s="603"/>
      <c r="R66" s="604"/>
    </row>
    <row r="67" spans="1:18" x14ac:dyDescent="0.25">
      <c r="A67" s="612"/>
      <c r="B67" s="613"/>
      <c r="C67" s="614"/>
      <c r="D67" s="25"/>
      <c r="E67" s="530"/>
      <c r="F67" s="84"/>
      <c r="G67" s="531"/>
      <c r="H67" s="23"/>
      <c r="I67" s="530"/>
      <c r="J67" s="23"/>
      <c r="K67" s="58"/>
      <c r="L67" s="23"/>
      <c r="M67" s="34"/>
      <c r="N67" s="35"/>
      <c r="O67" s="77"/>
      <c r="P67" s="602"/>
      <c r="Q67" s="603"/>
      <c r="R67" s="604"/>
    </row>
    <row r="68" spans="1:18" x14ac:dyDescent="0.25">
      <c r="A68" s="609"/>
      <c r="B68" s="610"/>
      <c r="C68" s="611"/>
      <c r="D68" s="25"/>
      <c r="E68" s="530"/>
      <c r="F68" s="84"/>
      <c r="G68" s="531"/>
      <c r="H68" s="23"/>
      <c r="I68" s="530"/>
      <c r="J68" s="23"/>
      <c r="K68" s="58"/>
      <c r="L68" s="23"/>
      <c r="M68" s="34"/>
      <c r="N68" s="35"/>
      <c r="O68" s="77"/>
      <c r="P68" s="602"/>
      <c r="Q68" s="603"/>
      <c r="R68" s="604"/>
    </row>
    <row r="69" spans="1:18" x14ac:dyDescent="0.25">
      <c r="A69" s="599"/>
      <c r="B69" s="600"/>
      <c r="C69" s="601"/>
      <c r="D69" s="22"/>
      <c r="E69" s="530"/>
      <c r="F69" s="84"/>
      <c r="G69" s="531"/>
      <c r="H69" s="23"/>
      <c r="I69" s="530"/>
      <c r="J69" s="24"/>
      <c r="K69" s="59"/>
      <c r="L69" s="24"/>
      <c r="M69" s="34"/>
      <c r="N69" s="35"/>
      <c r="O69" s="77"/>
      <c r="P69" s="602"/>
      <c r="Q69" s="603"/>
      <c r="R69" s="604"/>
    </row>
    <row r="70" spans="1:18" x14ac:dyDescent="0.25">
      <c r="A70" s="599"/>
      <c r="B70" s="600"/>
      <c r="C70" s="601"/>
      <c r="D70" s="22"/>
      <c r="E70" s="530"/>
      <c r="F70" s="84"/>
      <c r="G70" s="531"/>
      <c r="H70" s="23"/>
      <c r="I70" s="530"/>
      <c r="J70" s="23"/>
      <c r="K70" s="58"/>
      <c r="L70" s="23"/>
      <c r="M70" s="34"/>
      <c r="N70" s="35"/>
      <c r="O70" s="77"/>
      <c r="P70" s="602"/>
      <c r="Q70" s="603"/>
      <c r="R70" s="604"/>
    </row>
    <row r="71" spans="1:18" x14ac:dyDescent="0.25">
      <c r="A71" s="599"/>
      <c r="B71" s="600"/>
      <c r="C71" s="601"/>
      <c r="D71" s="25"/>
      <c r="E71" s="530"/>
      <c r="F71" s="84"/>
      <c r="G71" s="531"/>
      <c r="H71" s="23"/>
      <c r="I71" s="27"/>
      <c r="J71" s="23"/>
      <c r="K71" s="58"/>
      <c r="L71" s="23"/>
      <c r="M71" s="34"/>
      <c r="N71" s="35"/>
      <c r="O71" s="77"/>
      <c r="P71" s="602"/>
      <c r="Q71" s="603"/>
      <c r="R71" s="604"/>
    </row>
    <row r="72" spans="1:18" x14ac:dyDescent="0.25">
      <c r="A72" s="609"/>
      <c r="B72" s="610"/>
      <c r="C72" s="611"/>
      <c r="D72" s="25"/>
      <c r="E72" s="530"/>
      <c r="F72" s="84"/>
      <c r="G72" s="531"/>
      <c r="H72" s="23"/>
      <c r="I72" s="530"/>
      <c r="J72" s="23"/>
      <c r="K72" s="58"/>
      <c r="L72" s="23"/>
      <c r="M72" s="34"/>
      <c r="N72" s="35"/>
      <c r="O72" s="77"/>
      <c r="P72" s="602"/>
      <c r="Q72" s="603"/>
      <c r="R72" s="604"/>
    </row>
    <row r="73" spans="1:18" x14ac:dyDescent="0.25">
      <c r="A73" s="599"/>
      <c r="B73" s="600"/>
      <c r="C73" s="601"/>
      <c r="D73" s="25"/>
      <c r="E73" s="530"/>
      <c r="F73" s="84"/>
      <c r="G73" s="531"/>
      <c r="H73" s="23"/>
      <c r="I73" s="530"/>
      <c r="J73" s="23"/>
      <c r="K73" s="58"/>
      <c r="L73" s="23"/>
      <c r="M73" s="34"/>
      <c r="N73" s="35"/>
      <c r="O73" s="77"/>
      <c r="P73" s="602"/>
      <c r="Q73" s="603"/>
      <c r="R73" s="604"/>
    </row>
    <row r="74" spans="1:18" x14ac:dyDescent="0.25">
      <c r="A74" s="599"/>
      <c r="B74" s="600"/>
      <c r="C74" s="601"/>
      <c r="D74" s="25"/>
      <c r="E74" s="530"/>
      <c r="F74" s="84"/>
      <c r="G74" s="531"/>
      <c r="H74" s="23"/>
      <c r="I74" s="530"/>
      <c r="J74" s="23"/>
      <c r="K74" s="58"/>
      <c r="L74" s="23"/>
      <c r="M74" s="34"/>
      <c r="N74" s="35"/>
      <c r="O74" s="77"/>
      <c r="P74" s="602"/>
      <c r="Q74" s="603"/>
      <c r="R74" s="604"/>
    </row>
    <row r="75" spans="1:18" x14ac:dyDescent="0.25">
      <c r="A75" s="599"/>
      <c r="B75" s="600"/>
      <c r="C75" s="601"/>
      <c r="D75" s="25"/>
      <c r="E75" s="530"/>
      <c r="F75" s="84"/>
      <c r="G75" s="531"/>
      <c r="H75" s="23"/>
      <c r="I75" s="530"/>
      <c r="J75" s="23"/>
      <c r="K75" s="58"/>
      <c r="L75" s="23"/>
      <c r="M75" s="34"/>
      <c r="N75" s="35"/>
      <c r="O75" s="77"/>
      <c r="P75" s="602"/>
      <c r="Q75" s="603"/>
      <c r="R75" s="604"/>
    </row>
    <row r="76" spans="1:18" x14ac:dyDescent="0.25">
      <c r="A76" s="599"/>
      <c r="B76" s="600"/>
      <c r="C76" s="601"/>
      <c r="D76" s="25"/>
      <c r="E76" s="530"/>
      <c r="F76" s="84"/>
      <c r="G76" s="531"/>
      <c r="H76" s="23"/>
      <c r="I76" s="27"/>
      <c r="J76" s="23"/>
      <c r="K76" s="58"/>
      <c r="L76" s="23"/>
      <c r="M76" s="34"/>
      <c r="N76" s="35"/>
      <c r="O76" s="77"/>
      <c r="P76" s="602"/>
      <c r="Q76" s="603"/>
      <c r="R76" s="604"/>
    </row>
    <row r="77" spans="1:18" x14ac:dyDescent="0.25">
      <c r="A77" s="616"/>
      <c r="B77" s="617"/>
      <c r="C77" s="618"/>
      <c r="D77" s="25"/>
      <c r="E77" s="530"/>
      <c r="F77" s="84"/>
      <c r="G77" s="531"/>
      <c r="H77" s="23"/>
      <c r="I77" s="530"/>
      <c r="J77" s="23"/>
      <c r="K77" s="58"/>
      <c r="L77" s="23"/>
      <c r="M77" s="34"/>
      <c r="N77" s="35"/>
      <c r="O77" s="77"/>
      <c r="P77" s="602"/>
      <c r="Q77" s="603"/>
      <c r="R77" s="604"/>
    </row>
    <row r="78" spans="1:18" x14ac:dyDescent="0.25">
      <c r="A78" s="626"/>
      <c r="B78" s="627"/>
      <c r="C78" s="628"/>
      <c r="D78" s="25"/>
      <c r="E78" s="530"/>
      <c r="F78" s="84"/>
      <c r="G78" s="531"/>
      <c r="H78" s="23"/>
      <c r="I78" s="530"/>
      <c r="J78" s="23"/>
      <c r="K78" s="58"/>
      <c r="L78" s="23"/>
      <c r="M78" s="34"/>
      <c r="N78" s="35"/>
      <c r="O78" s="77"/>
      <c r="P78" s="602"/>
      <c r="Q78" s="603"/>
      <c r="R78" s="604"/>
    </row>
    <row r="79" spans="1:18" x14ac:dyDescent="0.25">
      <c r="A79" s="626"/>
      <c r="B79" s="627"/>
      <c r="C79" s="628"/>
      <c r="D79" s="25"/>
      <c r="E79" s="530"/>
      <c r="F79" s="84"/>
      <c r="G79" s="531"/>
      <c r="H79" s="23"/>
      <c r="I79" s="530"/>
      <c r="J79" s="23"/>
      <c r="K79" s="58"/>
      <c r="L79" s="23"/>
      <c r="M79" s="34"/>
      <c r="N79" s="35"/>
      <c r="O79" s="77"/>
      <c r="P79" s="602"/>
      <c r="Q79" s="603"/>
      <c r="R79" s="604"/>
    </row>
    <row r="80" spans="1:18" x14ac:dyDescent="0.25">
      <c r="A80" s="626"/>
      <c r="B80" s="627"/>
      <c r="C80" s="628"/>
      <c r="D80" s="25"/>
      <c r="E80" s="530"/>
      <c r="F80" s="84"/>
      <c r="G80" s="531"/>
      <c r="H80" s="23"/>
      <c r="I80" s="530"/>
      <c r="J80" s="23"/>
      <c r="K80" s="58"/>
      <c r="L80" s="23"/>
      <c r="M80" s="34"/>
      <c r="N80" s="35"/>
      <c r="O80" s="77"/>
      <c r="P80" s="602"/>
      <c r="Q80" s="603"/>
      <c r="R80" s="604"/>
    </row>
    <row r="81" spans="1:18" x14ac:dyDescent="0.25">
      <c r="A81" s="626"/>
      <c r="B81" s="627"/>
      <c r="C81" s="628"/>
      <c r="D81" s="25"/>
      <c r="E81" s="530"/>
      <c r="F81" s="84"/>
      <c r="G81" s="531"/>
      <c r="H81" s="23"/>
      <c r="I81" s="530"/>
      <c r="J81" s="23"/>
      <c r="K81" s="58"/>
      <c r="L81" s="23"/>
      <c r="M81" s="34"/>
      <c r="N81" s="35"/>
      <c r="O81" s="77"/>
      <c r="P81" s="602"/>
      <c r="Q81" s="603"/>
      <c r="R81" s="604"/>
    </row>
    <row r="82" spans="1:18" x14ac:dyDescent="0.25">
      <c r="A82" s="622"/>
      <c r="B82" s="623"/>
      <c r="C82" s="624"/>
      <c r="D82" s="25"/>
      <c r="E82" s="530"/>
      <c r="F82" s="84"/>
      <c r="G82" s="531"/>
      <c r="H82" s="23"/>
      <c r="I82" s="530"/>
      <c r="J82" s="23"/>
      <c r="K82" s="58"/>
      <c r="L82" s="23"/>
      <c r="M82" s="34"/>
      <c r="N82" s="35"/>
      <c r="O82" s="77"/>
      <c r="P82" s="602"/>
      <c r="Q82" s="603"/>
      <c r="R82" s="604"/>
    </row>
    <row r="83" spans="1:18" x14ac:dyDescent="0.25">
      <c r="A83" s="609"/>
      <c r="B83" s="610"/>
      <c r="C83" s="611"/>
      <c r="D83" s="25"/>
      <c r="E83" s="530"/>
      <c r="F83" s="84"/>
      <c r="G83" s="531"/>
      <c r="H83" s="23"/>
      <c r="I83" s="530"/>
      <c r="J83" s="23"/>
      <c r="K83" s="58"/>
      <c r="L83" s="23"/>
      <c r="M83" s="34"/>
      <c r="N83" s="35"/>
      <c r="O83" s="77"/>
      <c r="P83" s="602"/>
      <c r="Q83" s="603"/>
      <c r="R83" s="604"/>
    </row>
    <row r="84" spans="1:18" x14ac:dyDescent="0.25">
      <c r="A84" s="599"/>
      <c r="B84" s="600"/>
      <c r="C84" s="601"/>
      <c r="D84" s="22"/>
      <c r="E84" s="530"/>
      <c r="F84" s="84"/>
      <c r="G84" s="531"/>
      <c r="H84" s="23"/>
      <c r="I84" s="530"/>
      <c r="J84" s="23"/>
      <c r="K84" s="58"/>
      <c r="L84" s="23"/>
      <c r="M84" s="34"/>
      <c r="N84" s="35"/>
      <c r="O84" s="77"/>
      <c r="P84" s="602"/>
      <c r="Q84" s="603"/>
      <c r="R84" s="604"/>
    </row>
    <row r="85" spans="1:18" x14ac:dyDescent="0.25">
      <c r="A85" s="599"/>
      <c r="B85" s="600"/>
      <c r="C85" s="601"/>
      <c r="D85" s="25"/>
      <c r="E85" s="530"/>
      <c r="F85" s="84"/>
      <c r="G85" s="531"/>
      <c r="H85" s="23"/>
      <c r="I85" s="530"/>
      <c r="J85" s="23"/>
      <c r="K85" s="58"/>
      <c r="L85" s="24"/>
      <c r="M85" s="34"/>
      <c r="N85" s="35"/>
      <c r="O85" s="77"/>
      <c r="P85" s="602"/>
      <c r="Q85" s="603"/>
      <c r="R85" s="604"/>
    </row>
    <row r="86" spans="1:18" x14ac:dyDescent="0.25">
      <c r="A86" s="599"/>
      <c r="B86" s="600"/>
      <c r="C86" s="601"/>
      <c r="D86" s="25"/>
      <c r="E86" s="530"/>
      <c r="F86" s="84"/>
      <c r="G86" s="531"/>
      <c r="H86" s="23"/>
      <c r="I86" s="530"/>
      <c r="J86" s="23"/>
      <c r="K86" s="60"/>
      <c r="L86" s="23"/>
      <c r="M86" s="32"/>
      <c r="N86" s="33"/>
      <c r="O86" s="77"/>
      <c r="P86" s="602"/>
      <c r="Q86" s="603"/>
      <c r="R86" s="604"/>
    </row>
    <row r="87" spans="1:18" x14ac:dyDescent="0.25">
      <c r="A87" s="599"/>
      <c r="B87" s="600"/>
      <c r="C87" s="601"/>
      <c r="D87" s="25"/>
      <c r="E87" s="530"/>
      <c r="F87" s="84"/>
      <c r="G87" s="531"/>
      <c r="H87" s="23"/>
      <c r="I87" s="530"/>
      <c r="J87" s="23"/>
      <c r="K87" s="58"/>
      <c r="L87" s="23"/>
      <c r="M87" s="34"/>
      <c r="N87" s="35"/>
      <c r="O87" s="77"/>
      <c r="P87" s="602"/>
      <c r="Q87" s="603"/>
      <c r="R87" s="604"/>
    </row>
    <row r="88" spans="1:18" x14ac:dyDescent="0.25">
      <c r="A88" s="612"/>
      <c r="B88" s="613"/>
      <c r="C88" s="614"/>
      <c r="D88" s="25"/>
      <c r="E88" s="530"/>
      <c r="F88" s="84"/>
      <c r="G88" s="531"/>
      <c r="H88" s="23"/>
      <c r="I88" s="530"/>
      <c r="J88" s="23"/>
      <c r="K88" s="58"/>
      <c r="L88" s="23"/>
      <c r="M88" s="34"/>
      <c r="N88" s="35"/>
      <c r="O88" s="77"/>
      <c r="P88" s="602"/>
      <c r="Q88" s="603"/>
      <c r="R88" s="604"/>
    </row>
    <row r="89" spans="1:18" x14ac:dyDescent="0.25">
      <c r="A89" s="609"/>
      <c r="B89" s="610"/>
      <c r="C89" s="611"/>
      <c r="D89" s="25"/>
      <c r="E89" s="530"/>
      <c r="F89" s="84"/>
      <c r="G89" s="531"/>
      <c r="H89" s="23"/>
      <c r="I89" s="530"/>
      <c r="J89" s="23"/>
      <c r="K89" s="58"/>
      <c r="L89" s="23"/>
      <c r="M89" s="34"/>
      <c r="N89" s="35"/>
      <c r="O89" s="77"/>
      <c r="P89" s="602"/>
      <c r="Q89" s="603"/>
      <c r="R89" s="604"/>
    </row>
    <row r="90" spans="1:18" x14ac:dyDescent="0.25">
      <c r="A90" s="599"/>
      <c r="B90" s="600"/>
      <c r="C90" s="601"/>
      <c r="D90" s="25"/>
      <c r="E90" s="530"/>
      <c r="F90" s="84"/>
      <c r="G90" s="531"/>
      <c r="H90" s="23"/>
      <c r="I90" s="27"/>
      <c r="J90" s="23"/>
      <c r="K90" s="58"/>
      <c r="L90" s="23"/>
      <c r="M90" s="34"/>
      <c r="N90" s="35"/>
      <c r="O90" s="77"/>
      <c r="P90" s="602"/>
      <c r="Q90" s="603"/>
      <c r="R90" s="604"/>
    </row>
    <row r="91" spans="1:18" x14ac:dyDescent="0.25">
      <c r="A91" s="599"/>
      <c r="B91" s="600"/>
      <c r="C91" s="601"/>
      <c r="D91" s="25"/>
      <c r="E91" s="530"/>
      <c r="F91" s="84"/>
      <c r="G91" s="531"/>
      <c r="H91" s="23"/>
      <c r="I91" s="530"/>
      <c r="J91" s="23"/>
      <c r="K91" s="58"/>
      <c r="L91" s="23"/>
      <c r="M91" s="34"/>
      <c r="N91" s="35"/>
      <c r="O91" s="77"/>
      <c r="P91" s="602"/>
      <c r="Q91" s="603"/>
      <c r="R91" s="604"/>
    </row>
    <row r="92" spans="1:18" x14ac:dyDescent="0.25">
      <c r="A92" s="609"/>
      <c r="B92" s="610"/>
      <c r="C92" s="611"/>
      <c r="D92" s="25"/>
      <c r="E92" s="530"/>
      <c r="F92" s="84"/>
      <c r="G92" s="531"/>
      <c r="H92" s="23"/>
      <c r="I92" s="530"/>
      <c r="J92" s="23"/>
      <c r="K92" s="58"/>
      <c r="L92" s="23"/>
      <c r="M92" s="34"/>
      <c r="N92" s="35"/>
      <c r="O92" s="77"/>
      <c r="P92" s="602"/>
      <c r="Q92" s="603"/>
      <c r="R92" s="604"/>
    </row>
    <row r="93" spans="1:18" x14ac:dyDescent="0.25">
      <c r="A93" s="599"/>
      <c r="B93" s="600"/>
      <c r="C93" s="601"/>
      <c r="D93" s="25"/>
      <c r="E93" s="530"/>
      <c r="F93" s="84"/>
      <c r="G93" s="531"/>
      <c r="H93" s="23"/>
      <c r="I93" s="27"/>
      <c r="J93" s="23"/>
      <c r="K93" s="58"/>
      <c r="L93" s="23"/>
      <c r="M93" s="34"/>
      <c r="N93" s="35"/>
      <c r="O93" s="77"/>
      <c r="P93" s="602"/>
      <c r="Q93" s="603"/>
      <c r="R93" s="604"/>
    </row>
    <row r="94" spans="1:18" x14ac:dyDescent="0.25">
      <c r="A94" s="599"/>
      <c r="B94" s="600"/>
      <c r="C94" s="601"/>
      <c r="D94" s="25"/>
      <c r="E94" s="530"/>
      <c r="F94" s="84"/>
      <c r="G94" s="531"/>
      <c r="H94" s="23"/>
      <c r="I94" s="27"/>
      <c r="J94" s="23"/>
      <c r="K94" s="58"/>
      <c r="L94" s="23"/>
      <c r="M94" s="34"/>
      <c r="N94" s="35"/>
      <c r="O94" s="77"/>
      <c r="P94" s="602"/>
      <c r="Q94" s="603"/>
      <c r="R94" s="604"/>
    </row>
    <row r="95" spans="1:18" x14ac:dyDescent="0.25">
      <c r="A95" s="599"/>
      <c r="B95" s="600"/>
      <c r="C95" s="601"/>
      <c r="D95" s="25"/>
      <c r="E95" s="530"/>
      <c r="F95" s="84"/>
      <c r="G95" s="531"/>
      <c r="H95" s="23"/>
      <c r="I95" s="27"/>
      <c r="J95" s="23"/>
      <c r="K95" s="58"/>
      <c r="L95" s="23"/>
      <c r="M95" s="34"/>
      <c r="N95" s="35"/>
      <c r="O95" s="77"/>
      <c r="P95" s="602"/>
      <c r="Q95" s="603"/>
      <c r="R95" s="604"/>
    </row>
    <row r="96" spans="1:18" x14ac:dyDescent="0.25">
      <c r="A96" s="609"/>
      <c r="B96" s="610"/>
      <c r="C96" s="611"/>
      <c r="D96" s="25"/>
      <c r="E96" s="530"/>
      <c r="F96" s="84"/>
      <c r="G96" s="531"/>
      <c r="H96" s="23"/>
      <c r="I96" s="530"/>
      <c r="J96" s="23"/>
      <c r="K96" s="58"/>
      <c r="L96" s="23"/>
      <c r="M96" s="34"/>
      <c r="N96" s="35"/>
      <c r="O96" s="77"/>
      <c r="P96" s="602"/>
      <c r="Q96" s="603"/>
      <c r="R96" s="604"/>
    </row>
    <row r="97" spans="1:18" x14ac:dyDescent="0.25">
      <c r="A97" s="599"/>
      <c r="B97" s="600"/>
      <c r="C97" s="601"/>
      <c r="D97" s="25"/>
      <c r="E97" s="530"/>
      <c r="F97" s="84"/>
      <c r="G97" s="531"/>
      <c r="H97" s="23"/>
      <c r="I97" s="27"/>
      <c r="J97" s="24"/>
      <c r="K97" s="58"/>
      <c r="L97" s="23"/>
      <c r="M97" s="34"/>
      <c r="N97" s="35"/>
      <c r="O97" s="77"/>
      <c r="P97" s="602"/>
      <c r="Q97" s="603"/>
      <c r="R97" s="604"/>
    </row>
    <row r="98" spans="1:18" x14ac:dyDescent="0.25">
      <c r="A98" s="599"/>
      <c r="B98" s="600"/>
      <c r="C98" s="601"/>
      <c r="D98" s="25"/>
      <c r="E98" s="530"/>
      <c r="F98" s="84"/>
      <c r="G98" s="531"/>
      <c r="H98" s="23"/>
      <c r="I98" s="27"/>
      <c r="J98" s="23"/>
      <c r="K98" s="58"/>
      <c r="L98" s="23"/>
      <c r="M98" s="34"/>
      <c r="N98" s="35"/>
      <c r="O98" s="77"/>
      <c r="P98" s="602"/>
      <c r="Q98" s="603"/>
      <c r="R98" s="604"/>
    </row>
    <row r="99" spans="1:18" x14ac:dyDescent="0.25">
      <c r="A99" s="599"/>
      <c r="B99" s="600"/>
      <c r="C99" s="601"/>
      <c r="D99" s="25"/>
      <c r="E99" s="530"/>
      <c r="F99" s="84"/>
      <c r="G99" s="531"/>
      <c r="H99" s="23"/>
      <c r="I99" s="27"/>
      <c r="J99" s="23"/>
      <c r="K99" s="58"/>
      <c r="L99" s="23"/>
      <c r="M99" s="34"/>
      <c r="N99" s="35"/>
      <c r="O99" s="77"/>
      <c r="P99" s="602"/>
      <c r="Q99" s="603"/>
      <c r="R99" s="604"/>
    </row>
    <row r="100" spans="1:18" x14ac:dyDescent="0.25">
      <c r="A100" s="599"/>
      <c r="B100" s="600"/>
      <c r="C100" s="601"/>
      <c r="D100" s="25"/>
      <c r="E100" s="530"/>
      <c r="F100" s="84"/>
      <c r="G100" s="531"/>
      <c r="H100" s="23"/>
      <c r="I100" s="27"/>
      <c r="J100" s="23"/>
      <c r="K100" s="58"/>
      <c r="L100" s="23"/>
      <c r="M100" s="34"/>
      <c r="N100" s="35"/>
      <c r="O100" s="77"/>
      <c r="P100" s="602"/>
      <c r="Q100" s="603"/>
      <c r="R100" s="604"/>
    </row>
    <row r="101" spans="1:18" x14ac:dyDescent="0.25">
      <c r="A101" s="599"/>
      <c r="B101" s="600"/>
      <c r="C101" s="601"/>
      <c r="D101" s="25"/>
      <c r="E101" s="530"/>
      <c r="F101" s="84"/>
      <c r="G101" s="537"/>
      <c r="H101" s="23"/>
      <c r="I101" s="27"/>
      <c r="J101" s="23"/>
      <c r="K101" s="58"/>
      <c r="L101" s="23"/>
      <c r="M101" s="34"/>
      <c r="N101" s="35"/>
      <c r="O101" s="77"/>
      <c r="P101" s="602"/>
      <c r="Q101" s="603"/>
      <c r="R101" s="604"/>
    </row>
    <row r="102" spans="1:18" x14ac:dyDescent="0.25">
      <c r="A102" s="609"/>
      <c r="B102" s="610"/>
      <c r="C102" s="611"/>
      <c r="D102" s="25"/>
      <c r="E102" s="530"/>
      <c r="F102" s="84"/>
      <c r="G102" s="531"/>
      <c r="H102" s="23"/>
      <c r="I102" s="530"/>
      <c r="J102" s="23"/>
      <c r="K102" s="58"/>
      <c r="L102" s="23"/>
      <c r="M102" s="34"/>
      <c r="N102" s="35"/>
      <c r="O102" s="77"/>
      <c r="P102" s="602"/>
      <c r="Q102" s="603"/>
      <c r="R102" s="604"/>
    </row>
    <row r="103" spans="1:18" x14ac:dyDescent="0.25">
      <c r="A103" s="599"/>
      <c r="B103" s="600"/>
      <c r="C103" s="601"/>
      <c r="D103" s="25"/>
      <c r="E103" s="530"/>
      <c r="F103" s="84"/>
      <c r="G103" s="531"/>
      <c r="H103" s="23"/>
      <c r="I103" s="530"/>
      <c r="J103" s="23"/>
      <c r="K103" s="58"/>
      <c r="L103" s="23"/>
      <c r="M103" s="34"/>
      <c r="N103" s="35"/>
      <c r="O103" s="77"/>
      <c r="P103" s="602"/>
      <c r="Q103" s="603"/>
      <c r="R103" s="604"/>
    </row>
    <row r="104" spans="1:18" x14ac:dyDescent="0.25">
      <c r="A104" s="599"/>
      <c r="B104" s="600"/>
      <c r="C104" s="601"/>
      <c r="D104" s="25"/>
      <c r="E104" s="530"/>
      <c r="F104" s="84"/>
      <c r="G104" s="531"/>
      <c r="H104" s="23"/>
      <c r="I104" s="530"/>
      <c r="J104" s="23"/>
      <c r="K104" s="61"/>
      <c r="L104" s="24"/>
      <c r="M104" s="34"/>
      <c r="N104" s="35"/>
      <c r="O104" s="77"/>
      <c r="P104" s="602"/>
      <c r="Q104" s="603"/>
      <c r="R104" s="604"/>
    </row>
    <row r="105" spans="1:18" x14ac:dyDescent="0.25">
      <c r="A105" s="599"/>
      <c r="B105" s="600"/>
      <c r="C105" s="601"/>
      <c r="D105" s="25"/>
      <c r="E105" s="530"/>
      <c r="F105" s="84"/>
      <c r="G105" s="531"/>
      <c r="H105" s="23"/>
      <c r="I105" s="530"/>
      <c r="J105" s="23"/>
      <c r="K105" s="60"/>
      <c r="L105" s="23"/>
      <c r="M105" s="32"/>
      <c r="N105" s="33"/>
      <c r="O105" s="77"/>
      <c r="P105" s="602"/>
      <c r="Q105" s="603"/>
      <c r="R105" s="604"/>
    </row>
    <row r="106" spans="1:18" x14ac:dyDescent="0.25">
      <c r="A106" s="599"/>
      <c r="B106" s="600"/>
      <c r="C106" s="601"/>
      <c r="D106" s="25"/>
      <c r="E106" s="530"/>
      <c r="F106" s="84"/>
      <c r="G106" s="531"/>
      <c r="H106" s="23"/>
      <c r="I106" s="530"/>
      <c r="J106" s="23"/>
      <c r="K106" s="58"/>
      <c r="L106" s="23"/>
      <c r="M106" s="34"/>
      <c r="N106" s="35"/>
      <c r="O106" s="77"/>
      <c r="P106" s="602"/>
      <c r="Q106" s="603"/>
      <c r="R106" s="604"/>
    </row>
    <row r="107" spans="1:18" x14ac:dyDescent="0.25">
      <c r="A107" s="612"/>
      <c r="B107" s="613"/>
      <c r="C107" s="614"/>
      <c r="D107" s="25"/>
      <c r="E107" s="530"/>
      <c r="F107" s="84"/>
      <c r="G107" s="531"/>
      <c r="H107" s="23"/>
      <c r="I107" s="530"/>
      <c r="J107" s="23"/>
      <c r="K107" s="58"/>
      <c r="L107" s="23"/>
      <c r="M107" s="34"/>
      <c r="N107" s="35"/>
      <c r="O107" s="77"/>
      <c r="P107" s="602"/>
      <c r="Q107" s="603"/>
      <c r="R107" s="604"/>
    </row>
    <row r="108" spans="1:18" x14ac:dyDescent="0.25">
      <c r="A108" s="599"/>
      <c r="B108" s="600"/>
      <c r="C108" s="601"/>
      <c r="D108" s="22"/>
      <c r="E108" s="530"/>
      <c r="F108" s="84"/>
      <c r="G108" s="531"/>
      <c r="H108" s="23"/>
      <c r="I108" s="530"/>
      <c r="J108" s="24"/>
      <c r="K108" s="58"/>
      <c r="L108" s="23"/>
      <c r="M108" s="34"/>
      <c r="N108" s="35"/>
      <c r="O108" s="77"/>
      <c r="P108" s="602"/>
      <c r="Q108" s="603"/>
      <c r="R108" s="604"/>
    </row>
    <row r="109" spans="1:18" x14ac:dyDescent="0.25">
      <c r="A109" s="599"/>
      <c r="B109" s="600"/>
      <c r="C109" s="601"/>
      <c r="D109" s="25"/>
      <c r="E109" s="530"/>
      <c r="F109" s="84"/>
      <c r="G109" s="531"/>
      <c r="H109" s="23"/>
      <c r="I109" s="27"/>
      <c r="J109" s="23"/>
      <c r="K109" s="58"/>
      <c r="L109" s="23"/>
      <c r="M109" s="34"/>
      <c r="N109" s="35"/>
      <c r="O109" s="77"/>
      <c r="P109" s="602"/>
      <c r="Q109" s="603"/>
      <c r="R109" s="604"/>
    </row>
    <row r="110" spans="1:18" x14ac:dyDescent="0.25">
      <c r="A110" s="599"/>
      <c r="B110" s="600"/>
      <c r="C110" s="601"/>
      <c r="D110" s="25"/>
      <c r="E110" s="530"/>
      <c r="F110" s="84"/>
      <c r="G110" s="531"/>
      <c r="H110" s="23"/>
      <c r="I110" s="530"/>
      <c r="J110" s="23"/>
      <c r="K110" s="61"/>
      <c r="L110" s="24"/>
      <c r="M110" s="34"/>
      <c r="N110" s="35"/>
      <c r="O110" s="77"/>
      <c r="P110" s="602"/>
      <c r="Q110" s="603"/>
      <c r="R110" s="604"/>
    </row>
    <row r="111" spans="1:18" x14ac:dyDescent="0.25">
      <c r="A111" s="629"/>
      <c r="B111" s="630"/>
      <c r="C111" s="631"/>
      <c r="D111" s="28"/>
      <c r="E111" s="532"/>
      <c r="F111" s="29"/>
      <c r="G111" s="533"/>
      <c r="H111" s="30"/>
      <c r="I111" s="532"/>
      <c r="J111" s="30"/>
      <c r="K111" s="62"/>
      <c r="L111" s="30"/>
      <c r="M111" s="36"/>
      <c r="N111" s="37"/>
      <c r="O111" s="46"/>
      <c r="P111" s="632"/>
      <c r="Q111" s="633"/>
      <c r="R111" s="634"/>
    </row>
  </sheetData>
  <mergeCells count="218">
    <mergeCell ref="A109:C109"/>
    <mergeCell ref="P109:R109"/>
    <mergeCell ref="A110:C110"/>
    <mergeCell ref="P110:R110"/>
    <mergeCell ref="A111:C111"/>
    <mergeCell ref="P111:R111"/>
    <mergeCell ref="A106:C106"/>
    <mergeCell ref="P106:R106"/>
    <mergeCell ref="A107:C107"/>
    <mergeCell ref="P107:R107"/>
    <mergeCell ref="A108:C108"/>
    <mergeCell ref="P108:R108"/>
    <mergeCell ref="A103:C103"/>
    <mergeCell ref="P103:R103"/>
    <mergeCell ref="A104:C104"/>
    <mergeCell ref="P104:R104"/>
    <mergeCell ref="A105:C105"/>
    <mergeCell ref="P105:R105"/>
    <mergeCell ref="A100:C100"/>
    <mergeCell ref="P100:R100"/>
    <mergeCell ref="A101:C101"/>
    <mergeCell ref="P101:R101"/>
    <mergeCell ref="A102:C102"/>
    <mergeCell ref="P102:R102"/>
    <mergeCell ref="A97:C97"/>
    <mergeCell ref="P97:R97"/>
    <mergeCell ref="A98:C98"/>
    <mergeCell ref="P98:R98"/>
    <mergeCell ref="A99:C99"/>
    <mergeCell ref="P99:R99"/>
    <mergeCell ref="A94:C94"/>
    <mergeCell ref="P94:R94"/>
    <mergeCell ref="A95:C95"/>
    <mergeCell ref="P95:R95"/>
    <mergeCell ref="A96:C96"/>
    <mergeCell ref="P96:R96"/>
    <mergeCell ref="A91:C91"/>
    <mergeCell ref="P91:R91"/>
    <mergeCell ref="A92:C92"/>
    <mergeCell ref="P92:R92"/>
    <mergeCell ref="A93:C93"/>
    <mergeCell ref="P93:R93"/>
    <mergeCell ref="A88:C88"/>
    <mergeCell ref="P88:R88"/>
    <mergeCell ref="A89:C89"/>
    <mergeCell ref="P89:R89"/>
    <mergeCell ref="A90:C90"/>
    <mergeCell ref="P90:R90"/>
    <mergeCell ref="A85:C85"/>
    <mergeCell ref="P85:R85"/>
    <mergeCell ref="A86:C86"/>
    <mergeCell ref="P86:R86"/>
    <mergeCell ref="A87:C87"/>
    <mergeCell ref="P87:R87"/>
    <mergeCell ref="A82:C82"/>
    <mergeCell ref="P82:R82"/>
    <mergeCell ref="A83:C83"/>
    <mergeCell ref="P83:R83"/>
    <mergeCell ref="A84:C84"/>
    <mergeCell ref="P84:R84"/>
    <mergeCell ref="A79:C79"/>
    <mergeCell ref="P79:R79"/>
    <mergeCell ref="A80:C80"/>
    <mergeCell ref="P80:R80"/>
    <mergeCell ref="A81:C81"/>
    <mergeCell ref="P81:R81"/>
    <mergeCell ref="A76:C76"/>
    <mergeCell ref="P76:R76"/>
    <mergeCell ref="A77:C77"/>
    <mergeCell ref="P77:R77"/>
    <mergeCell ref="A78:C78"/>
    <mergeCell ref="P78:R78"/>
    <mergeCell ref="A73:C73"/>
    <mergeCell ref="P73:R73"/>
    <mergeCell ref="A74:C74"/>
    <mergeCell ref="P74:R74"/>
    <mergeCell ref="A75:C75"/>
    <mergeCell ref="P75:R75"/>
    <mergeCell ref="A70:C70"/>
    <mergeCell ref="P70:R70"/>
    <mergeCell ref="A71:C71"/>
    <mergeCell ref="P71:R71"/>
    <mergeCell ref="A72:C72"/>
    <mergeCell ref="P72:R72"/>
    <mergeCell ref="A67:C67"/>
    <mergeCell ref="P67:R67"/>
    <mergeCell ref="A68:C68"/>
    <mergeCell ref="P68:R68"/>
    <mergeCell ref="A69:C69"/>
    <mergeCell ref="P69:R69"/>
    <mergeCell ref="A64:C64"/>
    <mergeCell ref="P64:R64"/>
    <mergeCell ref="A65:C65"/>
    <mergeCell ref="P65:R65"/>
    <mergeCell ref="A66:C66"/>
    <mergeCell ref="P66:R66"/>
    <mergeCell ref="A61:C61"/>
    <mergeCell ref="P61:R61"/>
    <mergeCell ref="A62:C62"/>
    <mergeCell ref="P62:R62"/>
    <mergeCell ref="A63:C63"/>
    <mergeCell ref="P63:R63"/>
    <mergeCell ref="A58:C58"/>
    <mergeCell ref="P58:R58"/>
    <mergeCell ref="A59:C59"/>
    <mergeCell ref="P59:R59"/>
    <mergeCell ref="A60:C60"/>
    <mergeCell ref="P60:R60"/>
    <mergeCell ref="A55:C55"/>
    <mergeCell ref="P55:R55"/>
    <mergeCell ref="A56:C56"/>
    <mergeCell ref="P56:R56"/>
    <mergeCell ref="A57:C57"/>
    <mergeCell ref="P57:R57"/>
    <mergeCell ref="A52:C52"/>
    <mergeCell ref="P52:R52"/>
    <mergeCell ref="A53:C53"/>
    <mergeCell ref="P53:R53"/>
    <mergeCell ref="A54:C54"/>
    <mergeCell ref="P54:R54"/>
    <mergeCell ref="A49:C49"/>
    <mergeCell ref="P49:R49"/>
    <mergeCell ref="A50:C50"/>
    <mergeCell ref="P50:R50"/>
    <mergeCell ref="A51:C51"/>
    <mergeCell ref="P51:R51"/>
    <mergeCell ref="A46:C46"/>
    <mergeCell ref="P46:R46"/>
    <mergeCell ref="A47:C47"/>
    <mergeCell ref="P47:R47"/>
    <mergeCell ref="A48:C48"/>
    <mergeCell ref="P48:R48"/>
    <mergeCell ref="A43:C43"/>
    <mergeCell ref="P43:R43"/>
    <mergeCell ref="A44:C44"/>
    <mergeCell ref="P44:R44"/>
    <mergeCell ref="A45:C45"/>
    <mergeCell ref="P45:R45"/>
    <mergeCell ref="A40:C40"/>
    <mergeCell ref="P40:R40"/>
    <mergeCell ref="A41:C41"/>
    <mergeCell ref="P41:R41"/>
    <mergeCell ref="A42:C42"/>
    <mergeCell ref="P42:R42"/>
    <mergeCell ref="A37:C37"/>
    <mergeCell ref="P37:R37"/>
    <mergeCell ref="A38:C38"/>
    <mergeCell ref="P38:R38"/>
    <mergeCell ref="A39:C39"/>
    <mergeCell ref="P39:R39"/>
    <mergeCell ref="A34:C34"/>
    <mergeCell ref="P34:R34"/>
    <mergeCell ref="A35:C35"/>
    <mergeCell ref="P35:R35"/>
    <mergeCell ref="A36:C36"/>
    <mergeCell ref="P36:R36"/>
    <mergeCell ref="A31:C31"/>
    <mergeCell ref="P31:R31"/>
    <mergeCell ref="A32:C32"/>
    <mergeCell ref="P32:R32"/>
    <mergeCell ref="A33:C33"/>
    <mergeCell ref="P33:R33"/>
    <mergeCell ref="A28:C28"/>
    <mergeCell ref="P28:R28"/>
    <mergeCell ref="A29:C29"/>
    <mergeCell ref="P29:R29"/>
    <mergeCell ref="A30:C30"/>
    <mergeCell ref="P30:R30"/>
    <mergeCell ref="A25:C25"/>
    <mergeCell ref="P25:R25"/>
    <mergeCell ref="A26:C26"/>
    <mergeCell ref="P26:R26"/>
    <mergeCell ref="A27:C27"/>
    <mergeCell ref="P27:R27"/>
    <mergeCell ref="A22:C22"/>
    <mergeCell ref="P22:R22"/>
    <mergeCell ref="A23:C23"/>
    <mergeCell ref="P23:R23"/>
    <mergeCell ref="A24:C24"/>
    <mergeCell ref="P24:R24"/>
    <mergeCell ref="A19:C19"/>
    <mergeCell ref="P19:R19"/>
    <mergeCell ref="A20:C20"/>
    <mergeCell ref="P20:R20"/>
    <mergeCell ref="A21:C21"/>
    <mergeCell ref="P21:R21"/>
    <mergeCell ref="A16:C16"/>
    <mergeCell ref="P16:R16"/>
    <mergeCell ref="A17:C17"/>
    <mergeCell ref="P17:R17"/>
    <mergeCell ref="A18:C18"/>
    <mergeCell ref="P18:R18"/>
    <mergeCell ref="A13:C13"/>
    <mergeCell ref="P13:R13"/>
    <mergeCell ref="A14:C14"/>
    <mergeCell ref="P14:R14"/>
    <mergeCell ref="A15:C15"/>
    <mergeCell ref="P15:R15"/>
    <mergeCell ref="A10:C10"/>
    <mergeCell ref="P10:R10"/>
    <mergeCell ref="A11:C11"/>
    <mergeCell ref="P11:R11"/>
    <mergeCell ref="A12:C12"/>
    <mergeCell ref="P12:R12"/>
    <mergeCell ref="P6:R6"/>
    <mergeCell ref="A7:C7"/>
    <mergeCell ref="P7:R7"/>
    <mergeCell ref="A8:C8"/>
    <mergeCell ref="P8:R8"/>
    <mergeCell ref="A9:C9"/>
    <mergeCell ref="P9:R9"/>
    <mergeCell ref="L1:M1"/>
    <mergeCell ref="L2:M2"/>
    <mergeCell ref="D3:F3"/>
    <mergeCell ref="L3:M3"/>
    <mergeCell ref="A4:C4"/>
    <mergeCell ref="D4:F4"/>
    <mergeCell ref="L4:M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R111"/>
  <sheetViews>
    <sheetView zoomScale="115" zoomScaleNormal="115"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A12" sqref="A12:C12"/>
    </sheetView>
  </sheetViews>
  <sheetFormatPr defaultRowHeight="12.75" x14ac:dyDescent="0.2"/>
  <cols>
    <col min="1" max="16384" width="9.140625" style="292"/>
  </cols>
  <sheetData>
    <row r="1" spans="1:18" x14ac:dyDescent="0.2">
      <c r="A1" s="290"/>
      <c r="C1" s="29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708</v>
      </c>
      <c r="M1" s="620"/>
      <c r="N1" s="287"/>
      <c r="O1" s="302"/>
    </row>
    <row r="2" spans="1:18" ht="15" x14ac:dyDescent="0.25">
      <c r="A2" s="290"/>
      <c r="C2" s="29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8" x14ac:dyDescent="0.2">
      <c r="A3" s="384"/>
      <c r="B3" s="361"/>
      <c r="C3" s="291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</row>
    <row r="4" spans="1:18" x14ac:dyDescent="0.2">
      <c r="A4" s="710" t="s">
        <v>18</v>
      </c>
      <c r="B4" s="710"/>
      <c r="C4" s="710"/>
      <c r="D4" s="711" t="s">
        <v>237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</row>
    <row r="5" spans="1:18" x14ac:dyDescent="0.2">
      <c r="A5" s="311"/>
      <c r="B5" s="314"/>
      <c r="C5" s="492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313"/>
      <c r="Q5" s="314"/>
      <c r="R5" s="315"/>
    </row>
    <row r="6" spans="1:18" ht="13.5" thickBot="1" x14ac:dyDescent="0.25">
      <c r="A6" s="493" t="s">
        <v>5</v>
      </c>
      <c r="B6" s="494"/>
      <c r="C6" s="495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704" t="s">
        <v>40</v>
      </c>
      <c r="Q6" s="705"/>
      <c r="R6" s="706"/>
    </row>
    <row r="7" spans="1:18" x14ac:dyDescent="0.2">
      <c r="A7" s="728"/>
      <c r="B7" s="729"/>
      <c r="C7" s="730"/>
      <c r="D7" s="322"/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707"/>
      <c r="Q7" s="708"/>
      <c r="R7" s="709"/>
    </row>
    <row r="8" spans="1:18" ht="15" x14ac:dyDescent="0.25">
      <c r="A8" s="694"/>
      <c r="B8" s="695"/>
      <c r="C8" s="696"/>
      <c r="D8" s="564"/>
      <c r="E8" s="330"/>
      <c r="F8" s="331"/>
      <c r="G8" s="332"/>
      <c r="H8" s="333"/>
      <c r="I8" s="330"/>
      <c r="J8" s="24"/>
      <c r="K8" s="334"/>
      <c r="L8" s="333"/>
      <c r="M8" s="330"/>
      <c r="N8" s="333"/>
      <c r="O8" s="337"/>
      <c r="P8" s="671"/>
      <c r="Q8" s="672"/>
      <c r="R8" s="673"/>
    </row>
    <row r="9" spans="1:18" x14ac:dyDescent="0.2">
      <c r="D9" s="22"/>
      <c r="E9" s="330"/>
      <c r="F9" s="331"/>
      <c r="G9" s="332"/>
      <c r="H9" s="333"/>
      <c r="I9" s="330"/>
      <c r="J9" s="333"/>
      <c r="K9" s="334"/>
      <c r="L9" s="333"/>
      <c r="M9" s="330"/>
      <c r="N9" s="333"/>
      <c r="O9" s="337"/>
      <c r="P9" s="671"/>
      <c r="Q9" s="672"/>
      <c r="R9" s="673"/>
    </row>
    <row r="10" spans="1:18" ht="15" x14ac:dyDescent="0.25">
      <c r="A10" s="668" t="s">
        <v>230</v>
      </c>
      <c r="B10" s="669"/>
      <c r="C10" s="670"/>
      <c r="D10" s="22"/>
      <c r="E10" s="330"/>
      <c r="F10" s="331"/>
      <c r="G10" s="332"/>
      <c r="H10" s="333"/>
      <c r="I10" s="330">
        <f>10036</f>
        <v>10036</v>
      </c>
      <c r="J10" s="333" t="s">
        <v>42</v>
      </c>
      <c r="K10" s="334"/>
      <c r="L10" s="333"/>
      <c r="M10" s="339">
        <f>I10</f>
        <v>10036</v>
      </c>
      <c r="N10" s="336" t="s">
        <v>42</v>
      </c>
      <c r="O10" s="570" t="s">
        <v>750</v>
      </c>
      <c r="P10" s="671"/>
      <c r="Q10" s="672"/>
      <c r="R10" s="673"/>
    </row>
    <row r="11" spans="1:18" x14ac:dyDescent="0.2">
      <c r="A11" s="671"/>
      <c r="B11" s="672"/>
      <c r="C11" s="673"/>
      <c r="D11" s="338"/>
      <c r="E11" s="330"/>
      <c r="F11" s="331"/>
      <c r="G11" s="332"/>
      <c r="H11" s="333"/>
      <c r="I11" s="330"/>
      <c r="J11" s="333"/>
      <c r="K11" s="334"/>
      <c r="L11" s="333"/>
      <c r="M11" s="330"/>
      <c r="N11" s="333"/>
      <c r="O11" s="337"/>
      <c r="P11" s="671"/>
      <c r="Q11" s="672"/>
      <c r="R11" s="673"/>
    </row>
    <row r="12" spans="1:18" x14ac:dyDescent="0.2">
      <c r="A12" s="737" t="s">
        <v>231</v>
      </c>
      <c r="B12" s="738"/>
      <c r="C12" s="739"/>
      <c r="D12" s="338"/>
      <c r="E12" s="330"/>
      <c r="F12" s="331"/>
      <c r="G12" s="332"/>
      <c r="H12" s="333"/>
      <c r="I12" s="330"/>
      <c r="J12" s="333"/>
      <c r="K12" s="334"/>
      <c r="L12" s="333"/>
      <c r="M12" s="330"/>
      <c r="N12" s="333"/>
      <c r="O12" s="337"/>
      <c r="P12" s="671"/>
      <c r="Q12" s="672"/>
      <c r="R12" s="673"/>
    </row>
    <row r="13" spans="1:18" x14ac:dyDescent="0.2">
      <c r="A13" s="671" t="s">
        <v>233</v>
      </c>
      <c r="B13" s="672"/>
      <c r="C13" s="673"/>
      <c r="D13" s="338" t="s">
        <v>735</v>
      </c>
      <c r="E13" s="485">
        <f>Wood!E85+Wood!E86</f>
        <v>155.6390977443609</v>
      </c>
      <c r="F13" s="331"/>
      <c r="G13" s="332">
        <v>26.67</v>
      </c>
      <c r="H13" s="333"/>
      <c r="I13" s="485">
        <f>E13*G13</f>
        <v>4150.894736842105</v>
      </c>
      <c r="J13" s="340" t="s">
        <v>42</v>
      </c>
      <c r="K13" s="334"/>
      <c r="L13" s="24"/>
      <c r="M13" s="330"/>
      <c r="N13" s="333"/>
      <c r="O13" s="337"/>
      <c r="P13" s="671"/>
      <c r="Q13" s="672"/>
      <c r="R13" s="673"/>
    </row>
    <row r="14" spans="1:18" x14ac:dyDescent="0.2">
      <c r="A14" s="668" t="s">
        <v>229</v>
      </c>
      <c r="B14" s="669"/>
      <c r="C14" s="670"/>
      <c r="D14" s="338"/>
      <c r="E14" s="330"/>
      <c r="F14" s="331"/>
      <c r="G14" s="332"/>
      <c r="H14" s="333"/>
      <c r="I14" s="330">
        <f>10036</f>
        <v>10036</v>
      </c>
      <c r="J14" s="333" t="s">
        <v>42</v>
      </c>
      <c r="K14" s="60"/>
      <c r="L14" s="333"/>
      <c r="M14" s="341"/>
      <c r="N14" s="33"/>
      <c r="O14" s="283"/>
      <c r="P14" s="671"/>
      <c r="Q14" s="672"/>
      <c r="R14" s="673"/>
    </row>
    <row r="15" spans="1:18" ht="15" x14ac:dyDescent="0.25">
      <c r="A15" s="716" t="s">
        <v>14</v>
      </c>
      <c r="B15" s="701"/>
      <c r="C15" s="702"/>
      <c r="D15" s="338"/>
      <c r="E15" s="330"/>
      <c r="F15" s="331"/>
      <c r="G15" s="332"/>
      <c r="H15" s="333"/>
      <c r="I15" s="485">
        <f>SUM(I13:I14)</f>
        <v>14186.894736842105</v>
      </c>
      <c r="J15" s="333" t="s">
        <v>42</v>
      </c>
      <c r="K15" s="334"/>
      <c r="L15" s="333"/>
      <c r="M15" s="504">
        <f>I15</f>
        <v>14186.894736842105</v>
      </c>
      <c r="N15" s="336" t="s">
        <v>42</v>
      </c>
      <c r="O15" s="570" t="s">
        <v>750</v>
      </c>
      <c r="P15" s="671"/>
      <c r="Q15" s="672"/>
      <c r="R15" s="673"/>
    </row>
    <row r="16" spans="1:18" x14ac:dyDescent="0.2">
      <c r="A16" s="755"/>
      <c r="B16" s="756"/>
      <c r="C16" s="757"/>
      <c r="D16" s="338"/>
      <c r="E16" s="330"/>
      <c r="F16" s="331"/>
      <c r="G16" s="332"/>
      <c r="H16" s="333"/>
      <c r="I16" s="330"/>
      <c r="J16" s="333"/>
      <c r="K16" s="334"/>
      <c r="L16" s="333"/>
      <c r="M16" s="343"/>
      <c r="N16" s="344"/>
      <c r="O16" s="337"/>
      <c r="P16" s="671"/>
      <c r="Q16" s="672"/>
      <c r="R16" s="673"/>
    </row>
    <row r="17" spans="1:18" ht="15" x14ac:dyDescent="0.25">
      <c r="A17" s="781" t="s">
        <v>621</v>
      </c>
      <c r="B17" s="664"/>
      <c r="C17" s="782"/>
      <c r="D17" s="338" t="s">
        <v>735</v>
      </c>
      <c r="E17" s="330"/>
      <c r="F17" s="331"/>
      <c r="G17" s="332"/>
      <c r="H17" s="333"/>
      <c r="I17" s="330"/>
      <c r="J17" s="333"/>
      <c r="K17" s="334"/>
      <c r="L17" s="333"/>
      <c r="M17" s="339">
        <f>M10</f>
        <v>10036</v>
      </c>
      <c r="N17" s="336" t="s">
        <v>42</v>
      </c>
      <c r="O17" s="570" t="s">
        <v>750</v>
      </c>
      <c r="P17" s="671"/>
      <c r="Q17" s="672"/>
      <c r="R17" s="673"/>
    </row>
    <row r="18" spans="1:18" x14ac:dyDescent="0.2">
      <c r="A18" s="671"/>
      <c r="B18" s="672"/>
      <c r="C18" s="673"/>
      <c r="D18" s="22"/>
      <c r="E18" s="330"/>
      <c r="F18" s="331"/>
      <c r="G18" s="332"/>
      <c r="H18" s="333"/>
      <c r="I18" s="330"/>
      <c r="J18" s="24"/>
      <c r="K18" s="346"/>
      <c r="L18" s="24"/>
      <c r="M18" s="343"/>
      <c r="N18" s="344"/>
      <c r="O18" s="337"/>
      <c r="P18" s="671"/>
      <c r="Q18" s="672"/>
      <c r="R18" s="673"/>
    </row>
    <row r="19" spans="1:18" x14ac:dyDescent="0.2">
      <c r="A19" s="671"/>
      <c r="B19" s="672"/>
      <c r="C19" s="673"/>
      <c r="D19" s="22"/>
      <c r="E19" s="330"/>
      <c r="F19" s="331"/>
      <c r="G19" s="332"/>
      <c r="H19" s="333"/>
      <c r="I19" s="330"/>
      <c r="J19" s="333"/>
      <c r="K19" s="334"/>
      <c r="L19" s="333"/>
      <c r="M19" s="343"/>
      <c r="N19" s="344"/>
      <c r="O19" s="337"/>
      <c r="P19" s="671"/>
      <c r="Q19" s="672"/>
      <c r="R19" s="673"/>
    </row>
    <row r="20" spans="1:18" ht="15" x14ac:dyDescent="0.25">
      <c r="A20" s="737" t="s">
        <v>238</v>
      </c>
      <c r="B20" s="738"/>
      <c r="C20" s="739"/>
      <c r="D20" s="564" t="s">
        <v>92</v>
      </c>
      <c r="E20" s="330"/>
      <c r="F20" s="331"/>
      <c r="G20" s="332"/>
      <c r="H20" s="333"/>
      <c r="I20" s="347">
        <f>225+370</f>
        <v>595</v>
      </c>
      <c r="J20" s="333" t="s">
        <v>42</v>
      </c>
      <c r="K20" s="334"/>
      <c r="L20" s="333"/>
      <c r="M20" s="335">
        <f>I20</f>
        <v>595</v>
      </c>
      <c r="N20" s="336" t="s">
        <v>42</v>
      </c>
      <c r="O20" s="570" t="s">
        <v>747</v>
      </c>
      <c r="P20" s="671"/>
      <c r="Q20" s="672"/>
      <c r="R20" s="673"/>
    </row>
    <row r="21" spans="1:18" ht="15" x14ac:dyDescent="0.25">
      <c r="A21" s="781" t="s">
        <v>239</v>
      </c>
      <c r="B21" s="664"/>
      <c r="C21" s="782"/>
      <c r="D21" s="564" t="s">
        <v>92</v>
      </c>
      <c r="E21" s="330"/>
      <c r="F21" s="331"/>
      <c r="G21" s="332"/>
      <c r="H21" s="333"/>
      <c r="I21" s="330">
        <f>Masonry!K11</f>
        <v>8040</v>
      </c>
      <c r="J21" s="333" t="s">
        <v>42</v>
      </c>
      <c r="K21" s="334"/>
      <c r="L21" s="333"/>
      <c r="M21" s="339">
        <f>I21</f>
        <v>8040</v>
      </c>
      <c r="N21" s="336" t="s">
        <v>42</v>
      </c>
      <c r="O21" s="570" t="s">
        <v>750</v>
      </c>
      <c r="P21" s="671" t="s">
        <v>236</v>
      </c>
      <c r="Q21" s="672"/>
      <c r="R21" s="673"/>
    </row>
    <row r="22" spans="1:18" ht="15" x14ac:dyDescent="0.25">
      <c r="A22" s="737" t="s">
        <v>243</v>
      </c>
      <c r="B22" s="738"/>
      <c r="C22" s="739"/>
      <c r="D22" s="338" t="s">
        <v>92</v>
      </c>
      <c r="E22" s="330"/>
      <c r="F22" s="331"/>
      <c r="G22" s="332"/>
      <c r="H22" s="333"/>
      <c r="I22" s="330">
        <f>I26</f>
        <v>826</v>
      </c>
      <c r="J22" s="333" t="s">
        <v>45</v>
      </c>
      <c r="K22" s="334"/>
      <c r="L22" s="333"/>
      <c r="M22" s="339">
        <f>I22</f>
        <v>826</v>
      </c>
      <c r="N22" s="336" t="s">
        <v>45</v>
      </c>
      <c r="O22" s="570" t="s">
        <v>747</v>
      </c>
      <c r="P22" s="671" t="s">
        <v>244</v>
      </c>
      <c r="Q22" s="672"/>
      <c r="R22" s="673"/>
    </row>
    <row r="23" spans="1:18" x14ac:dyDescent="0.2">
      <c r="A23" s="671"/>
      <c r="B23" s="672"/>
      <c r="C23" s="673"/>
      <c r="D23" s="338"/>
      <c r="E23" s="330"/>
      <c r="F23" s="331"/>
      <c r="G23" s="332"/>
      <c r="H23" s="333"/>
      <c r="I23" s="330"/>
      <c r="J23" s="333"/>
      <c r="K23" s="334"/>
      <c r="L23" s="333"/>
      <c r="M23" s="343"/>
      <c r="N23" s="344"/>
      <c r="O23" s="337"/>
      <c r="P23" s="671"/>
      <c r="Q23" s="672"/>
      <c r="R23" s="673"/>
    </row>
    <row r="24" spans="1:18" x14ac:dyDescent="0.2">
      <c r="A24" s="751"/>
      <c r="B24" s="672"/>
      <c r="C24" s="673"/>
      <c r="D24" s="348"/>
      <c r="E24" s="330"/>
      <c r="F24" s="331"/>
      <c r="G24" s="332"/>
      <c r="H24" s="333"/>
      <c r="I24" s="330"/>
      <c r="J24" s="333"/>
      <c r="K24" s="334"/>
      <c r="L24" s="333"/>
      <c r="M24" s="343"/>
      <c r="N24" s="344"/>
      <c r="O24" s="337"/>
      <c r="P24" s="671"/>
      <c r="Q24" s="672"/>
      <c r="R24" s="673"/>
    </row>
    <row r="25" spans="1:18" ht="15" x14ac:dyDescent="0.25">
      <c r="A25" s="750" t="s">
        <v>240</v>
      </c>
      <c r="B25" s="738"/>
      <c r="C25" s="739"/>
      <c r="D25" s="565" t="s">
        <v>735</v>
      </c>
      <c r="E25" s="330"/>
      <c r="F25" s="331"/>
      <c r="G25" s="332"/>
      <c r="H25" s="333"/>
      <c r="I25" s="330"/>
      <c r="J25" s="333"/>
      <c r="K25" s="334"/>
      <c r="L25" s="333"/>
      <c r="M25" s="343"/>
      <c r="N25" s="344"/>
      <c r="O25" s="337"/>
      <c r="P25" s="671"/>
      <c r="Q25" s="672"/>
      <c r="R25" s="673"/>
    </row>
    <row r="26" spans="1:18" x14ac:dyDescent="0.2">
      <c r="A26" s="751" t="s">
        <v>241</v>
      </c>
      <c r="B26" s="672"/>
      <c r="C26" s="673"/>
      <c r="D26" s="348"/>
      <c r="E26" s="330"/>
      <c r="F26" s="331"/>
      <c r="G26" s="332"/>
      <c r="H26" s="333"/>
      <c r="I26" s="330">
        <f>413*2</f>
        <v>826</v>
      </c>
      <c r="J26" s="333" t="s">
        <v>45</v>
      </c>
      <c r="K26" s="334"/>
      <c r="L26" s="333"/>
      <c r="M26" s="343"/>
      <c r="N26" s="344"/>
      <c r="O26" s="337"/>
      <c r="P26" s="671"/>
      <c r="Q26" s="672"/>
      <c r="R26" s="673"/>
    </row>
    <row r="27" spans="1:18" x14ac:dyDescent="0.2">
      <c r="A27" s="751" t="s">
        <v>246</v>
      </c>
      <c r="B27" s="672"/>
      <c r="C27" s="673"/>
      <c r="D27" s="348"/>
      <c r="E27" s="330"/>
      <c r="F27" s="331"/>
      <c r="G27" s="332"/>
      <c r="H27" s="333"/>
      <c r="I27" s="330">
        <v>147</v>
      </c>
      <c r="J27" s="333" t="s">
        <v>45</v>
      </c>
      <c r="K27" s="334"/>
      <c r="L27" s="333"/>
      <c r="M27" s="343"/>
      <c r="N27" s="344"/>
      <c r="O27" s="337"/>
      <c r="P27" s="671"/>
      <c r="Q27" s="672"/>
      <c r="R27" s="673"/>
    </row>
    <row r="28" spans="1:18" ht="15" x14ac:dyDescent="0.25">
      <c r="A28" s="700" t="s">
        <v>14</v>
      </c>
      <c r="B28" s="701"/>
      <c r="C28" s="702"/>
      <c r="D28" s="348"/>
      <c r="E28" s="330"/>
      <c r="F28" s="331"/>
      <c r="G28" s="332"/>
      <c r="H28" s="333"/>
      <c r="I28" s="330">
        <f>SUM(I26:I27)</f>
        <v>973</v>
      </c>
      <c r="J28" s="333" t="s">
        <v>45</v>
      </c>
      <c r="K28" s="334"/>
      <c r="L28" s="333"/>
      <c r="M28" s="339">
        <f>I28*0.25</f>
        <v>243.25</v>
      </c>
      <c r="N28" s="336" t="s">
        <v>348</v>
      </c>
      <c r="O28" s="570" t="s">
        <v>750</v>
      </c>
      <c r="P28" s="671"/>
      <c r="Q28" s="672"/>
      <c r="R28" s="673"/>
    </row>
    <row r="29" spans="1:18" x14ac:dyDescent="0.2">
      <c r="A29" s="779"/>
      <c r="B29" s="657"/>
      <c r="C29" s="780"/>
      <c r="D29" s="338"/>
      <c r="E29" s="330"/>
      <c r="F29" s="331"/>
      <c r="G29" s="332"/>
      <c r="H29" s="333"/>
      <c r="I29" s="330"/>
      <c r="J29" s="333"/>
      <c r="K29" s="334"/>
      <c r="L29" s="333"/>
      <c r="M29" s="343"/>
      <c r="N29" s="344"/>
      <c r="O29" s="337"/>
      <c r="P29" s="671" t="s">
        <v>242</v>
      </c>
      <c r="Q29" s="672"/>
      <c r="R29" s="673"/>
    </row>
    <row r="30" spans="1:18" ht="15" x14ac:dyDescent="0.25">
      <c r="A30" s="737" t="s">
        <v>248</v>
      </c>
      <c r="B30" s="738"/>
      <c r="C30" s="739"/>
      <c r="D30" s="564" t="s">
        <v>254</v>
      </c>
      <c r="E30" s="330"/>
      <c r="F30" s="331"/>
      <c r="G30" s="332"/>
      <c r="H30" s="333"/>
      <c r="I30" s="330"/>
      <c r="J30" s="333"/>
      <c r="K30" s="334"/>
      <c r="L30" s="333"/>
      <c r="M30" s="343"/>
      <c r="N30" s="344"/>
      <c r="O30" s="337"/>
      <c r="P30" s="671"/>
      <c r="Q30" s="672"/>
      <c r="R30" s="673"/>
    </row>
    <row r="31" spans="1:18" x14ac:dyDescent="0.2">
      <c r="A31" s="671" t="s">
        <v>249</v>
      </c>
      <c r="B31" s="672"/>
      <c r="C31" s="673"/>
      <c r="D31" s="338"/>
      <c r="E31" s="330"/>
      <c r="F31" s="331"/>
      <c r="G31" s="332"/>
      <c r="H31" s="333"/>
      <c r="I31" s="330">
        <f>16*17*2</f>
        <v>544</v>
      </c>
      <c r="J31" s="333" t="s">
        <v>45</v>
      </c>
      <c r="K31" s="334"/>
      <c r="L31" s="24"/>
      <c r="M31" s="343"/>
      <c r="N31" s="344"/>
      <c r="O31" s="337"/>
      <c r="P31" s="671" t="s">
        <v>633</v>
      </c>
      <c r="Q31" s="672"/>
      <c r="R31" s="673"/>
    </row>
    <row r="32" spans="1:18" x14ac:dyDescent="0.2">
      <c r="A32" s="671" t="s">
        <v>250</v>
      </c>
      <c r="B32" s="672"/>
      <c r="C32" s="673"/>
      <c r="D32" s="338"/>
      <c r="E32" s="330"/>
      <c r="F32" s="331"/>
      <c r="G32" s="332"/>
      <c r="H32" s="333"/>
      <c r="I32" s="330">
        <f>20*2*43</f>
        <v>1720</v>
      </c>
      <c r="J32" s="333" t="s">
        <v>45</v>
      </c>
      <c r="K32" s="60"/>
      <c r="L32" s="333"/>
      <c r="M32" s="341"/>
      <c r="N32" s="33"/>
      <c r="O32" s="337"/>
      <c r="P32" s="671"/>
      <c r="Q32" s="672"/>
      <c r="R32" s="673"/>
    </row>
    <row r="33" spans="1:18" x14ac:dyDescent="0.2">
      <c r="A33" s="671" t="s">
        <v>308</v>
      </c>
      <c r="B33" s="672"/>
      <c r="C33" s="673"/>
      <c r="D33" s="338"/>
      <c r="E33" s="330"/>
      <c r="F33" s="331"/>
      <c r="G33" s="332"/>
      <c r="H33" s="333"/>
      <c r="I33" s="330">
        <f>215+277</f>
        <v>492</v>
      </c>
      <c r="J33" s="333" t="s">
        <v>45</v>
      </c>
      <c r="K33" s="334"/>
      <c r="L33" s="333"/>
      <c r="M33" s="343"/>
      <c r="N33" s="344"/>
      <c r="O33" s="337"/>
      <c r="P33" s="671"/>
      <c r="Q33" s="672"/>
      <c r="R33" s="673"/>
    </row>
    <row r="34" spans="1:18" ht="15" x14ac:dyDescent="0.25">
      <c r="A34" s="744" t="s">
        <v>14</v>
      </c>
      <c r="B34" s="745"/>
      <c r="C34" s="746"/>
      <c r="D34" s="338"/>
      <c r="E34" s="330"/>
      <c r="F34" s="331"/>
      <c r="G34" s="332"/>
      <c r="H34" s="333"/>
      <c r="I34" s="330">
        <f>SUM(I31:I33)</f>
        <v>2756</v>
      </c>
      <c r="J34" s="333" t="s">
        <v>45</v>
      </c>
      <c r="K34" s="334"/>
      <c r="L34" s="333"/>
      <c r="M34" s="339">
        <f>I34</f>
        <v>2756</v>
      </c>
      <c r="N34" s="336" t="s">
        <v>45</v>
      </c>
      <c r="O34" s="570" t="s">
        <v>751</v>
      </c>
      <c r="P34" s="671" t="s">
        <v>307</v>
      </c>
      <c r="Q34" s="672"/>
      <c r="R34" s="673"/>
    </row>
    <row r="35" spans="1:18" x14ac:dyDescent="0.2">
      <c r="A35" s="740"/>
      <c r="B35" s="654"/>
      <c r="C35" s="741"/>
      <c r="D35" s="338"/>
      <c r="E35" s="330"/>
      <c r="F35" s="331"/>
      <c r="G35" s="332"/>
      <c r="H35" s="333"/>
      <c r="I35" s="330"/>
      <c r="J35" s="333"/>
      <c r="K35" s="334"/>
      <c r="L35" s="333"/>
      <c r="M35" s="343"/>
      <c r="N35" s="344"/>
      <c r="O35" s="337"/>
      <c r="P35" s="671" t="s">
        <v>306</v>
      </c>
      <c r="Q35" s="672"/>
      <c r="R35" s="673"/>
    </row>
    <row r="36" spans="1:18" ht="15" x14ac:dyDescent="0.25">
      <c r="A36" s="737" t="s">
        <v>318</v>
      </c>
      <c r="B36" s="738"/>
      <c r="C36" s="739"/>
      <c r="D36" s="564" t="s">
        <v>319</v>
      </c>
      <c r="E36" s="330"/>
      <c r="F36" s="331"/>
      <c r="G36" s="332"/>
      <c r="H36" s="333"/>
      <c r="I36" s="485">
        <f>217</f>
        <v>217</v>
      </c>
      <c r="J36" s="333" t="s">
        <v>42</v>
      </c>
      <c r="K36" s="334"/>
      <c r="L36" s="333"/>
      <c r="M36" s="504">
        <f>I36</f>
        <v>217</v>
      </c>
      <c r="N36" s="336" t="s">
        <v>42</v>
      </c>
      <c r="O36" s="570" t="s">
        <v>750</v>
      </c>
      <c r="P36" s="671"/>
      <c r="Q36" s="672"/>
      <c r="R36" s="673"/>
    </row>
    <row r="37" spans="1:18" x14ac:dyDescent="0.2">
      <c r="A37" s="671"/>
      <c r="B37" s="672"/>
      <c r="C37" s="673"/>
      <c r="D37" s="338"/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671"/>
      <c r="Q37" s="672"/>
      <c r="R37" s="673"/>
    </row>
    <row r="38" spans="1:18" x14ac:dyDescent="0.2">
      <c r="A38" s="740"/>
      <c r="B38" s="654"/>
      <c r="C38" s="741"/>
      <c r="D38" s="338"/>
      <c r="E38" s="330"/>
      <c r="F38" s="331"/>
      <c r="G38" s="332"/>
      <c r="H38" s="333"/>
      <c r="I38" s="330"/>
      <c r="J38" s="333"/>
      <c r="K38" s="334"/>
      <c r="L38" s="333"/>
      <c r="M38" s="343"/>
      <c r="N38" s="344"/>
      <c r="O38" s="337"/>
      <c r="P38" s="671"/>
      <c r="Q38" s="672"/>
      <c r="R38" s="673"/>
    </row>
    <row r="39" spans="1:18" x14ac:dyDescent="0.2">
      <c r="A39" s="671"/>
      <c r="B39" s="672"/>
      <c r="C39" s="673"/>
      <c r="D39" s="338"/>
      <c r="E39" s="330"/>
      <c r="F39" s="331"/>
      <c r="G39" s="332"/>
      <c r="H39" s="333"/>
      <c r="I39" s="347"/>
      <c r="J39" s="333"/>
      <c r="K39" s="334"/>
      <c r="L39" s="333"/>
      <c r="M39" s="343"/>
      <c r="N39" s="344"/>
      <c r="O39" s="337"/>
      <c r="P39" s="671"/>
      <c r="Q39" s="672"/>
      <c r="R39" s="673"/>
    </row>
    <row r="40" spans="1:18" x14ac:dyDescent="0.2">
      <c r="A40" s="671"/>
      <c r="B40" s="672"/>
      <c r="C40" s="673"/>
      <c r="D40" s="338"/>
      <c r="E40" s="330"/>
      <c r="F40" s="331"/>
      <c r="G40" s="332"/>
      <c r="H40" s="333"/>
      <c r="I40" s="347"/>
      <c r="J40" s="333"/>
      <c r="K40" s="334"/>
      <c r="L40" s="333"/>
      <c r="M40" s="343"/>
      <c r="N40" s="344"/>
      <c r="O40" s="337"/>
      <c r="P40" s="671"/>
      <c r="Q40" s="672"/>
      <c r="R40" s="673"/>
    </row>
    <row r="41" spans="1:18" x14ac:dyDescent="0.2">
      <c r="A41" s="671"/>
      <c r="B41" s="672"/>
      <c r="C41" s="673"/>
      <c r="D41" s="338"/>
      <c r="E41" s="330"/>
      <c r="F41" s="331"/>
      <c r="G41" s="332"/>
      <c r="H41" s="333"/>
      <c r="I41" s="347"/>
      <c r="J41" s="333"/>
      <c r="K41" s="334"/>
      <c r="L41" s="333"/>
      <c r="M41" s="343"/>
      <c r="N41" s="344"/>
      <c r="O41" s="337"/>
      <c r="P41" s="671"/>
      <c r="Q41" s="672"/>
      <c r="R41" s="673"/>
    </row>
    <row r="42" spans="1:18" x14ac:dyDescent="0.2">
      <c r="A42" s="740"/>
      <c r="B42" s="654"/>
      <c r="C42" s="741"/>
      <c r="D42" s="338"/>
      <c r="E42" s="330"/>
      <c r="F42" s="331"/>
      <c r="G42" s="332"/>
      <c r="H42" s="333"/>
      <c r="I42" s="330"/>
      <c r="J42" s="333"/>
      <c r="K42" s="334"/>
      <c r="L42" s="333"/>
      <c r="M42" s="343"/>
      <c r="N42" s="344"/>
      <c r="O42" s="337"/>
      <c r="P42" s="671"/>
      <c r="Q42" s="672"/>
      <c r="R42" s="673"/>
    </row>
    <row r="43" spans="1:18" x14ac:dyDescent="0.2">
      <c r="A43" s="671"/>
      <c r="B43" s="672"/>
      <c r="C43" s="673"/>
      <c r="D43" s="338"/>
      <c r="E43" s="330"/>
      <c r="F43" s="331"/>
      <c r="G43" s="332"/>
      <c r="H43" s="333"/>
      <c r="I43" s="347"/>
      <c r="J43" s="24"/>
      <c r="K43" s="334"/>
      <c r="L43" s="333"/>
      <c r="M43" s="343"/>
      <c r="N43" s="344"/>
      <c r="O43" s="337"/>
      <c r="P43" s="671"/>
      <c r="Q43" s="672"/>
      <c r="R43" s="673"/>
    </row>
    <row r="44" spans="1:18" x14ac:dyDescent="0.2">
      <c r="A44" s="671"/>
      <c r="B44" s="672"/>
      <c r="C44" s="673"/>
      <c r="D44" s="338"/>
      <c r="E44" s="330"/>
      <c r="F44" s="331"/>
      <c r="G44" s="332"/>
      <c r="H44" s="333"/>
      <c r="I44" s="347"/>
      <c r="J44" s="333"/>
      <c r="K44" s="334"/>
      <c r="L44" s="333"/>
      <c r="M44" s="343"/>
      <c r="N44" s="344"/>
      <c r="O44" s="337"/>
      <c r="P44" s="671"/>
      <c r="Q44" s="672"/>
      <c r="R44" s="673"/>
    </row>
    <row r="45" spans="1:18" x14ac:dyDescent="0.2">
      <c r="A45" s="671"/>
      <c r="B45" s="672"/>
      <c r="C45" s="673"/>
      <c r="D45" s="338"/>
      <c r="E45" s="330"/>
      <c r="F45" s="331"/>
      <c r="G45" s="332"/>
      <c r="H45" s="333"/>
      <c r="I45" s="347"/>
      <c r="J45" s="333"/>
      <c r="K45" s="334"/>
      <c r="L45" s="333"/>
      <c r="M45" s="343"/>
      <c r="N45" s="344"/>
      <c r="O45" s="337"/>
      <c r="P45" s="671"/>
      <c r="Q45" s="672"/>
      <c r="R45" s="673"/>
    </row>
    <row r="46" spans="1:18" x14ac:dyDescent="0.2">
      <c r="A46" s="671"/>
      <c r="B46" s="672"/>
      <c r="C46" s="673"/>
      <c r="D46" s="338"/>
      <c r="E46" s="330"/>
      <c r="F46" s="331"/>
      <c r="G46" s="332"/>
      <c r="H46" s="333"/>
      <c r="I46" s="347"/>
      <c r="J46" s="333"/>
      <c r="K46" s="334"/>
      <c r="L46" s="333"/>
      <c r="M46" s="343"/>
      <c r="N46" s="344"/>
      <c r="O46" s="337"/>
      <c r="P46" s="671"/>
      <c r="Q46" s="672"/>
      <c r="R46" s="673"/>
    </row>
    <row r="47" spans="1:18" x14ac:dyDescent="0.2">
      <c r="A47" s="671"/>
      <c r="B47" s="672"/>
      <c r="C47" s="673"/>
      <c r="D47" s="338"/>
      <c r="E47" s="330"/>
      <c r="F47" s="331"/>
      <c r="G47" s="281"/>
      <c r="H47" s="333"/>
      <c r="I47" s="347"/>
      <c r="J47" s="333"/>
      <c r="K47" s="334"/>
      <c r="L47" s="333"/>
      <c r="M47" s="343"/>
      <c r="N47" s="344"/>
      <c r="O47" s="337"/>
      <c r="P47" s="671"/>
      <c r="Q47" s="672"/>
      <c r="R47" s="673"/>
    </row>
    <row r="48" spans="1:18" x14ac:dyDescent="0.2">
      <c r="A48" s="740"/>
      <c r="B48" s="654"/>
      <c r="C48" s="741"/>
      <c r="D48" s="338"/>
      <c r="E48" s="330"/>
      <c r="F48" s="331"/>
      <c r="G48" s="332"/>
      <c r="H48" s="333"/>
      <c r="I48" s="330"/>
      <c r="J48" s="333"/>
      <c r="K48" s="334"/>
      <c r="L48" s="333"/>
      <c r="M48" s="343"/>
      <c r="N48" s="344"/>
      <c r="O48" s="337"/>
      <c r="P48" s="671"/>
      <c r="Q48" s="672"/>
      <c r="R48" s="673"/>
    </row>
    <row r="49" spans="1:18" x14ac:dyDescent="0.2">
      <c r="A49" s="671"/>
      <c r="B49" s="672"/>
      <c r="C49" s="673"/>
      <c r="D49" s="338"/>
      <c r="E49" s="330"/>
      <c r="F49" s="331"/>
      <c r="G49" s="332"/>
      <c r="H49" s="333"/>
      <c r="I49" s="330"/>
      <c r="J49" s="333"/>
      <c r="K49" s="334"/>
      <c r="L49" s="333"/>
      <c r="M49" s="343"/>
      <c r="N49" s="344"/>
      <c r="O49" s="337"/>
      <c r="P49" s="671"/>
      <c r="Q49" s="672"/>
      <c r="R49" s="673"/>
    </row>
    <row r="50" spans="1:18" x14ac:dyDescent="0.2">
      <c r="A50" s="671"/>
      <c r="B50" s="672"/>
      <c r="C50" s="673"/>
      <c r="D50" s="338"/>
      <c r="E50" s="330"/>
      <c r="F50" s="331"/>
      <c r="G50" s="332"/>
      <c r="H50" s="333"/>
      <c r="I50" s="330"/>
      <c r="J50" s="333"/>
      <c r="K50" s="349"/>
      <c r="L50" s="24"/>
      <c r="M50" s="343"/>
      <c r="N50" s="344"/>
      <c r="O50" s="337"/>
      <c r="P50" s="671"/>
      <c r="Q50" s="672"/>
      <c r="R50" s="673"/>
    </row>
    <row r="51" spans="1:18" x14ac:dyDescent="0.2">
      <c r="A51" s="671"/>
      <c r="B51" s="672"/>
      <c r="C51" s="673"/>
      <c r="D51" s="338"/>
      <c r="E51" s="330"/>
      <c r="F51" s="331"/>
      <c r="G51" s="332"/>
      <c r="H51" s="333"/>
      <c r="I51" s="330"/>
      <c r="J51" s="333"/>
      <c r="K51" s="60"/>
      <c r="L51" s="333"/>
      <c r="M51" s="341"/>
      <c r="N51" s="33"/>
      <c r="O51" s="337"/>
      <c r="P51" s="671"/>
      <c r="Q51" s="672"/>
      <c r="R51" s="673"/>
    </row>
    <row r="52" spans="1:18" x14ac:dyDescent="0.2">
      <c r="A52" s="671"/>
      <c r="B52" s="672"/>
      <c r="C52" s="673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671"/>
      <c r="Q52" s="672"/>
      <c r="R52" s="673"/>
    </row>
    <row r="53" spans="1:18" x14ac:dyDescent="0.2">
      <c r="A53" s="755"/>
      <c r="B53" s="756"/>
      <c r="C53" s="757"/>
      <c r="D53" s="338"/>
      <c r="E53" s="330"/>
      <c r="F53" s="331"/>
      <c r="G53" s="332"/>
      <c r="H53" s="333"/>
      <c r="I53" s="330"/>
      <c r="J53" s="333"/>
      <c r="K53" s="334"/>
      <c r="L53" s="333"/>
      <c r="M53" s="343"/>
      <c r="N53" s="344"/>
      <c r="O53" s="337"/>
      <c r="P53" s="671"/>
      <c r="Q53" s="672"/>
      <c r="R53" s="673"/>
    </row>
    <row r="54" spans="1:18" x14ac:dyDescent="0.2">
      <c r="A54" s="671"/>
      <c r="B54" s="672"/>
      <c r="C54" s="673"/>
      <c r="D54" s="22"/>
      <c r="E54" s="330"/>
      <c r="F54" s="331"/>
      <c r="G54" s="332"/>
      <c r="H54" s="333"/>
      <c r="I54" s="330"/>
      <c r="J54" s="24"/>
      <c r="K54" s="334"/>
      <c r="L54" s="333"/>
      <c r="M54" s="343"/>
      <c r="N54" s="344"/>
      <c r="O54" s="337"/>
      <c r="P54" s="671"/>
      <c r="Q54" s="672"/>
      <c r="R54" s="673"/>
    </row>
    <row r="55" spans="1:18" x14ac:dyDescent="0.2">
      <c r="A55" s="671"/>
      <c r="B55" s="672"/>
      <c r="C55" s="673"/>
      <c r="D55" s="338"/>
      <c r="E55" s="330"/>
      <c r="F55" s="331"/>
      <c r="G55" s="332"/>
      <c r="H55" s="333"/>
      <c r="I55" s="347"/>
      <c r="J55" s="333"/>
      <c r="K55" s="334"/>
      <c r="L55" s="333"/>
      <c r="M55" s="343"/>
      <c r="N55" s="344"/>
      <c r="O55" s="337"/>
      <c r="P55" s="671"/>
      <c r="Q55" s="672"/>
      <c r="R55" s="673"/>
    </row>
    <row r="56" spans="1:18" x14ac:dyDescent="0.2">
      <c r="A56" s="671"/>
      <c r="B56" s="672"/>
      <c r="C56" s="673"/>
      <c r="D56" s="338"/>
      <c r="E56" s="330"/>
      <c r="F56" s="331"/>
      <c r="G56" s="332"/>
      <c r="H56" s="333"/>
      <c r="I56" s="330"/>
      <c r="J56" s="333"/>
      <c r="K56" s="349"/>
      <c r="L56" s="24"/>
      <c r="M56" s="343"/>
      <c r="N56" s="344"/>
      <c r="O56" s="337"/>
      <c r="P56" s="671"/>
      <c r="Q56" s="672"/>
      <c r="R56" s="673"/>
    </row>
    <row r="57" spans="1:18" x14ac:dyDescent="0.2">
      <c r="A57" s="758"/>
      <c r="B57" s="758"/>
      <c r="C57" s="751"/>
      <c r="D57" s="350"/>
      <c r="E57" s="334"/>
      <c r="F57" s="331"/>
      <c r="G57" s="331"/>
      <c r="H57" s="340"/>
      <c r="I57" s="334"/>
      <c r="J57" s="340"/>
      <c r="K57" s="60"/>
      <c r="L57" s="340"/>
      <c r="M57" s="351"/>
      <c r="N57" s="65"/>
      <c r="O57" s="337"/>
      <c r="P57" s="671"/>
      <c r="Q57" s="672"/>
      <c r="R57" s="673"/>
    </row>
    <row r="58" spans="1:18" x14ac:dyDescent="0.2">
      <c r="A58" s="752"/>
      <c r="B58" s="753"/>
      <c r="C58" s="754"/>
      <c r="D58" s="63"/>
      <c r="E58" s="323"/>
      <c r="F58" s="324"/>
      <c r="G58" s="325"/>
      <c r="H58" s="326"/>
      <c r="I58" s="323"/>
      <c r="J58" s="326"/>
      <c r="K58" s="353"/>
      <c r="L58" s="326"/>
      <c r="M58" s="323"/>
      <c r="N58" s="326"/>
      <c r="O58" s="337"/>
      <c r="P58" s="671"/>
      <c r="Q58" s="672"/>
      <c r="R58" s="673"/>
    </row>
    <row r="59" spans="1:18" x14ac:dyDescent="0.2">
      <c r="A59" s="671"/>
      <c r="B59" s="672"/>
      <c r="C59" s="673"/>
      <c r="D59" s="338"/>
      <c r="E59" s="330"/>
      <c r="F59" s="331"/>
      <c r="G59" s="332"/>
      <c r="H59" s="333"/>
      <c r="I59" s="330"/>
      <c r="J59" s="333"/>
      <c r="K59" s="334"/>
      <c r="L59" s="333"/>
      <c r="M59" s="330"/>
      <c r="N59" s="333"/>
      <c r="O59" s="337"/>
      <c r="P59" s="671"/>
      <c r="Q59" s="672"/>
      <c r="R59" s="673"/>
    </row>
    <row r="60" spans="1:18" x14ac:dyDescent="0.2">
      <c r="A60" s="671"/>
      <c r="B60" s="672"/>
      <c r="C60" s="673"/>
      <c r="D60" s="338"/>
      <c r="E60" s="330"/>
      <c r="F60" s="331"/>
      <c r="G60" s="332"/>
      <c r="H60" s="333"/>
      <c r="I60" s="330"/>
      <c r="J60" s="333"/>
      <c r="K60" s="334"/>
      <c r="L60" s="333"/>
      <c r="M60" s="330"/>
      <c r="N60" s="333"/>
      <c r="O60" s="352"/>
      <c r="P60" s="671"/>
      <c r="Q60" s="672"/>
      <c r="R60" s="673"/>
    </row>
    <row r="61" spans="1:18" x14ac:dyDescent="0.2">
      <c r="A61" s="671"/>
      <c r="B61" s="672"/>
      <c r="C61" s="673"/>
      <c r="D61" s="338"/>
      <c r="E61" s="330"/>
      <c r="F61" s="331"/>
      <c r="G61" s="332"/>
      <c r="H61" s="333"/>
      <c r="I61" s="330"/>
      <c r="J61" s="333"/>
      <c r="K61" s="334"/>
      <c r="L61" s="24"/>
      <c r="M61" s="330"/>
      <c r="N61" s="333"/>
      <c r="O61" s="329"/>
      <c r="P61" s="671"/>
      <c r="Q61" s="672"/>
      <c r="R61" s="673"/>
    </row>
    <row r="62" spans="1:18" x14ac:dyDescent="0.2">
      <c r="A62" s="671"/>
      <c r="B62" s="672"/>
      <c r="C62" s="673"/>
      <c r="D62" s="338"/>
      <c r="E62" s="330"/>
      <c r="F62" s="331"/>
      <c r="G62" s="332"/>
      <c r="H62" s="333"/>
      <c r="I62" s="330"/>
      <c r="J62" s="333"/>
      <c r="K62" s="60"/>
      <c r="L62" s="333"/>
      <c r="M62" s="341"/>
      <c r="N62" s="33"/>
      <c r="O62" s="337"/>
      <c r="P62" s="671"/>
      <c r="Q62" s="672"/>
      <c r="R62" s="673"/>
    </row>
    <row r="63" spans="1:18" x14ac:dyDescent="0.2">
      <c r="A63" s="671"/>
      <c r="B63" s="672"/>
      <c r="C63" s="673"/>
      <c r="D63" s="338"/>
      <c r="E63" s="330"/>
      <c r="F63" s="331"/>
      <c r="G63" s="332"/>
      <c r="H63" s="333"/>
      <c r="I63" s="330"/>
      <c r="J63" s="333"/>
      <c r="K63" s="334"/>
      <c r="L63" s="333"/>
      <c r="M63" s="343"/>
      <c r="N63" s="344"/>
      <c r="O63" s="337"/>
      <c r="P63" s="671"/>
      <c r="Q63" s="672"/>
      <c r="R63" s="673"/>
    </row>
    <row r="64" spans="1:18" x14ac:dyDescent="0.2">
      <c r="A64" s="755"/>
      <c r="B64" s="756"/>
      <c r="C64" s="757"/>
      <c r="D64" s="338"/>
      <c r="E64" s="330"/>
      <c r="F64" s="331"/>
      <c r="G64" s="332"/>
      <c r="H64" s="333"/>
      <c r="I64" s="330"/>
      <c r="J64" s="333"/>
      <c r="K64" s="334"/>
      <c r="L64" s="333"/>
      <c r="M64" s="343"/>
      <c r="N64" s="344"/>
      <c r="O64" s="337"/>
      <c r="P64" s="671"/>
      <c r="Q64" s="672"/>
      <c r="R64" s="673"/>
    </row>
    <row r="65" spans="1:18" x14ac:dyDescent="0.2">
      <c r="A65" s="740"/>
      <c r="B65" s="654"/>
      <c r="C65" s="741"/>
      <c r="D65" s="338"/>
      <c r="E65" s="330"/>
      <c r="F65" s="331"/>
      <c r="G65" s="332"/>
      <c r="H65" s="333"/>
      <c r="I65" s="330"/>
      <c r="J65" s="333"/>
      <c r="K65" s="334"/>
      <c r="L65" s="333"/>
      <c r="M65" s="343"/>
      <c r="N65" s="344"/>
      <c r="O65" s="283"/>
      <c r="P65" s="671"/>
      <c r="Q65" s="672"/>
      <c r="R65" s="673"/>
    </row>
    <row r="66" spans="1:18" x14ac:dyDescent="0.2">
      <c r="A66" s="671"/>
      <c r="B66" s="672"/>
      <c r="C66" s="673"/>
      <c r="D66" s="22"/>
      <c r="E66" s="330"/>
      <c r="F66" s="331"/>
      <c r="G66" s="332"/>
      <c r="H66" s="333"/>
      <c r="I66" s="330"/>
      <c r="J66" s="24"/>
      <c r="K66" s="346"/>
      <c r="L66" s="24"/>
      <c r="M66" s="343"/>
      <c r="N66" s="344"/>
      <c r="O66" s="337"/>
      <c r="P66" s="671"/>
      <c r="Q66" s="672"/>
      <c r="R66" s="673"/>
    </row>
    <row r="67" spans="1:18" x14ac:dyDescent="0.2">
      <c r="A67" s="671"/>
      <c r="B67" s="672"/>
      <c r="C67" s="673"/>
      <c r="D67" s="22"/>
      <c r="E67" s="330"/>
      <c r="F67" s="331"/>
      <c r="G67" s="332"/>
      <c r="H67" s="333"/>
      <c r="I67" s="330"/>
      <c r="J67" s="333"/>
      <c r="K67" s="334"/>
      <c r="L67" s="333"/>
      <c r="M67" s="343"/>
      <c r="N67" s="344"/>
      <c r="O67" s="337"/>
      <c r="P67" s="671"/>
      <c r="Q67" s="672"/>
      <c r="R67" s="673"/>
    </row>
    <row r="68" spans="1:18" x14ac:dyDescent="0.2">
      <c r="A68" s="671"/>
      <c r="B68" s="672"/>
      <c r="C68" s="673"/>
      <c r="D68" s="338"/>
      <c r="E68" s="330"/>
      <c r="F68" s="331"/>
      <c r="G68" s="332"/>
      <c r="H68" s="333"/>
      <c r="I68" s="347"/>
      <c r="J68" s="333"/>
      <c r="K68" s="334"/>
      <c r="L68" s="333"/>
      <c r="M68" s="343"/>
      <c r="N68" s="344"/>
      <c r="O68" s="337"/>
      <c r="P68" s="671"/>
      <c r="Q68" s="672"/>
      <c r="R68" s="673"/>
    </row>
    <row r="69" spans="1:18" x14ac:dyDescent="0.2">
      <c r="A69" s="740"/>
      <c r="B69" s="654"/>
      <c r="C69" s="741"/>
      <c r="D69" s="338"/>
      <c r="E69" s="330"/>
      <c r="F69" s="331"/>
      <c r="G69" s="332"/>
      <c r="H69" s="333"/>
      <c r="I69" s="330"/>
      <c r="J69" s="333"/>
      <c r="K69" s="334"/>
      <c r="L69" s="333"/>
      <c r="M69" s="343"/>
      <c r="N69" s="344"/>
      <c r="O69" s="337"/>
      <c r="P69" s="671"/>
      <c r="Q69" s="672"/>
      <c r="R69" s="673"/>
    </row>
    <row r="70" spans="1:18" x14ac:dyDescent="0.2">
      <c r="A70" s="671"/>
      <c r="B70" s="672"/>
      <c r="C70" s="673"/>
      <c r="D70" s="338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671"/>
      <c r="Q70" s="672"/>
      <c r="R70" s="673"/>
    </row>
    <row r="71" spans="1:18" x14ac:dyDescent="0.2">
      <c r="A71" s="671"/>
      <c r="B71" s="672"/>
      <c r="C71" s="673"/>
      <c r="D71" s="338"/>
      <c r="E71" s="330"/>
      <c r="F71" s="331"/>
      <c r="G71" s="332"/>
      <c r="H71" s="333"/>
      <c r="I71" s="330"/>
      <c r="J71" s="333"/>
      <c r="K71" s="334"/>
      <c r="L71" s="333"/>
      <c r="M71" s="343"/>
      <c r="N71" s="344"/>
      <c r="O71" s="337"/>
      <c r="P71" s="671"/>
      <c r="Q71" s="672"/>
      <c r="R71" s="673"/>
    </row>
    <row r="72" spans="1:18" x14ac:dyDescent="0.2">
      <c r="A72" s="671"/>
      <c r="B72" s="672"/>
      <c r="C72" s="673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671"/>
      <c r="Q72" s="672"/>
      <c r="R72" s="673"/>
    </row>
    <row r="73" spans="1:18" x14ac:dyDescent="0.2">
      <c r="A73" s="671"/>
      <c r="B73" s="672"/>
      <c r="C73" s="673"/>
      <c r="D73" s="338"/>
      <c r="E73" s="330"/>
      <c r="F73" s="331"/>
      <c r="G73" s="332"/>
      <c r="H73" s="333"/>
      <c r="I73" s="347"/>
      <c r="J73" s="333"/>
      <c r="K73" s="334"/>
      <c r="L73" s="333"/>
      <c r="M73" s="343"/>
      <c r="N73" s="344"/>
      <c r="O73" s="337"/>
      <c r="P73" s="671"/>
      <c r="Q73" s="672"/>
      <c r="R73" s="673"/>
    </row>
    <row r="74" spans="1:18" x14ac:dyDescent="0.2">
      <c r="A74" s="776"/>
      <c r="B74" s="777"/>
      <c r="C74" s="778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671"/>
      <c r="Q74" s="672"/>
      <c r="R74" s="673"/>
    </row>
    <row r="75" spans="1:18" x14ac:dyDescent="0.2">
      <c r="A75" s="719"/>
      <c r="B75" s="720"/>
      <c r="C75" s="721"/>
      <c r="D75" s="338"/>
      <c r="E75" s="330"/>
      <c r="F75" s="331"/>
      <c r="G75" s="332"/>
      <c r="H75" s="333"/>
      <c r="I75" s="330"/>
      <c r="J75" s="333"/>
      <c r="K75" s="334"/>
      <c r="L75" s="333"/>
      <c r="M75" s="343"/>
      <c r="N75" s="344"/>
      <c r="O75" s="337"/>
      <c r="P75" s="671"/>
      <c r="Q75" s="672"/>
      <c r="R75" s="673"/>
    </row>
    <row r="76" spans="1:18" x14ac:dyDescent="0.2">
      <c r="A76" s="719"/>
      <c r="B76" s="720"/>
      <c r="C76" s="721"/>
      <c r="D76" s="338"/>
      <c r="E76" s="330"/>
      <c r="F76" s="331"/>
      <c r="G76" s="332"/>
      <c r="H76" s="333"/>
      <c r="I76" s="330"/>
      <c r="J76" s="333"/>
      <c r="K76" s="334"/>
      <c r="L76" s="333"/>
      <c r="M76" s="343"/>
      <c r="N76" s="344"/>
      <c r="O76" s="337"/>
      <c r="P76" s="671"/>
      <c r="Q76" s="672"/>
      <c r="R76" s="673"/>
    </row>
    <row r="77" spans="1:18" x14ac:dyDescent="0.2">
      <c r="A77" s="719"/>
      <c r="B77" s="720"/>
      <c r="C77" s="721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671"/>
      <c r="Q77" s="672"/>
      <c r="R77" s="673"/>
    </row>
    <row r="78" spans="1:18" x14ac:dyDescent="0.2">
      <c r="A78" s="719"/>
      <c r="B78" s="720"/>
      <c r="C78" s="721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671"/>
      <c r="Q78" s="672"/>
      <c r="R78" s="673"/>
    </row>
    <row r="79" spans="1:18" x14ac:dyDescent="0.2">
      <c r="A79" s="707"/>
      <c r="B79" s="708"/>
      <c r="C79" s="709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671"/>
      <c r="Q79" s="672"/>
      <c r="R79" s="673"/>
    </row>
    <row r="80" spans="1:18" x14ac:dyDescent="0.2">
      <c r="A80" s="740"/>
      <c r="B80" s="654"/>
      <c r="C80" s="741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671"/>
      <c r="Q80" s="672"/>
      <c r="R80" s="673"/>
    </row>
    <row r="81" spans="1:18" x14ac:dyDescent="0.2">
      <c r="A81" s="671"/>
      <c r="B81" s="672"/>
      <c r="C81" s="673"/>
      <c r="D81" s="22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671"/>
      <c r="Q81" s="672"/>
      <c r="R81" s="673"/>
    </row>
    <row r="82" spans="1:18" x14ac:dyDescent="0.2">
      <c r="A82" s="671"/>
      <c r="B82" s="672"/>
      <c r="C82" s="673"/>
      <c r="D82" s="338"/>
      <c r="E82" s="330"/>
      <c r="F82" s="331"/>
      <c r="G82" s="332"/>
      <c r="H82" s="333"/>
      <c r="I82" s="330"/>
      <c r="J82" s="333"/>
      <c r="K82" s="334"/>
      <c r="L82" s="24"/>
      <c r="M82" s="343"/>
      <c r="N82" s="344"/>
      <c r="O82" s="337"/>
      <c r="P82" s="671"/>
      <c r="Q82" s="672"/>
      <c r="R82" s="673"/>
    </row>
    <row r="83" spans="1:18" x14ac:dyDescent="0.2">
      <c r="A83" s="671"/>
      <c r="B83" s="672"/>
      <c r="C83" s="673"/>
      <c r="D83" s="338"/>
      <c r="E83" s="330"/>
      <c r="F83" s="331"/>
      <c r="G83" s="332"/>
      <c r="H83" s="333"/>
      <c r="I83" s="330"/>
      <c r="J83" s="333"/>
      <c r="K83" s="60"/>
      <c r="L83" s="333"/>
      <c r="M83" s="341"/>
      <c r="N83" s="33"/>
      <c r="O83" s="337"/>
      <c r="P83" s="671"/>
      <c r="Q83" s="672"/>
      <c r="R83" s="673"/>
    </row>
    <row r="84" spans="1:18" x14ac:dyDescent="0.2">
      <c r="A84" s="671"/>
      <c r="B84" s="672"/>
      <c r="C84" s="673"/>
      <c r="D84" s="338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671"/>
      <c r="Q84" s="672"/>
      <c r="R84" s="673"/>
    </row>
    <row r="85" spans="1:18" x14ac:dyDescent="0.2">
      <c r="A85" s="755"/>
      <c r="B85" s="756"/>
      <c r="C85" s="757"/>
      <c r="D85" s="338"/>
      <c r="E85" s="330"/>
      <c r="F85" s="331"/>
      <c r="G85" s="332"/>
      <c r="H85" s="333"/>
      <c r="I85" s="330"/>
      <c r="J85" s="333"/>
      <c r="K85" s="334"/>
      <c r="L85" s="333"/>
      <c r="M85" s="343"/>
      <c r="N85" s="344"/>
      <c r="O85" s="337"/>
      <c r="P85" s="671"/>
      <c r="Q85" s="672"/>
      <c r="R85" s="673"/>
    </row>
    <row r="86" spans="1:18" x14ac:dyDescent="0.2">
      <c r="A86" s="740"/>
      <c r="B86" s="654"/>
      <c r="C86" s="741"/>
      <c r="D86" s="338"/>
      <c r="E86" s="330"/>
      <c r="F86" s="331"/>
      <c r="G86" s="332"/>
      <c r="H86" s="333"/>
      <c r="I86" s="330"/>
      <c r="J86" s="333"/>
      <c r="K86" s="334"/>
      <c r="L86" s="333"/>
      <c r="M86" s="343"/>
      <c r="N86" s="344"/>
      <c r="O86" s="337"/>
      <c r="P86" s="671"/>
      <c r="Q86" s="672"/>
      <c r="R86" s="673"/>
    </row>
    <row r="87" spans="1:18" x14ac:dyDescent="0.2">
      <c r="A87" s="671"/>
      <c r="B87" s="672"/>
      <c r="C87" s="673"/>
      <c r="D87" s="338"/>
      <c r="E87" s="330"/>
      <c r="F87" s="331"/>
      <c r="G87" s="332"/>
      <c r="H87" s="333"/>
      <c r="I87" s="347"/>
      <c r="J87" s="333"/>
      <c r="K87" s="334"/>
      <c r="L87" s="333"/>
      <c r="M87" s="343"/>
      <c r="N87" s="344"/>
      <c r="O87" s="337"/>
      <c r="P87" s="671"/>
      <c r="Q87" s="672"/>
      <c r="R87" s="673"/>
    </row>
    <row r="88" spans="1:18" x14ac:dyDescent="0.2">
      <c r="A88" s="671"/>
      <c r="B88" s="672"/>
      <c r="C88" s="673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671"/>
      <c r="Q88" s="672"/>
      <c r="R88" s="673"/>
    </row>
    <row r="89" spans="1:18" x14ac:dyDescent="0.2">
      <c r="A89" s="740"/>
      <c r="B89" s="654"/>
      <c r="C89" s="74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671"/>
      <c r="Q89" s="672"/>
      <c r="R89" s="673"/>
    </row>
    <row r="90" spans="1:18" x14ac:dyDescent="0.2">
      <c r="A90" s="671"/>
      <c r="B90" s="672"/>
      <c r="C90" s="673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671"/>
      <c r="Q90" s="672"/>
      <c r="R90" s="673"/>
    </row>
    <row r="91" spans="1:18" x14ac:dyDescent="0.2">
      <c r="A91" s="671"/>
      <c r="B91" s="672"/>
      <c r="C91" s="673"/>
      <c r="D91" s="338"/>
      <c r="E91" s="330"/>
      <c r="F91" s="331"/>
      <c r="G91" s="332"/>
      <c r="H91" s="333"/>
      <c r="I91" s="347"/>
      <c r="J91" s="333"/>
      <c r="K91" s="334"/>
      <c r="L91" s="333"/>
      <c r="M91" s="343"/>
      <c r="N91" s="344"/>
      <c r="O91" s="337"/>
      <c r="P91" s="671"/>
      <c r="Q91" s="672"/>
      <c r="R91" s="673"/>
    </row>
    <row r="92" spans="1:18" x14ac:dyDescent="0.2">
      <c r="A92" s="671"/>
      <c r="B92" s="672"/>
      <c r="C92" s="673"/>
      <c r="D92" s="338"/>
      <c r="E92" s="330"/>
      <c r="F92" s="331"/>
      <c r="G92" s="332"/>
      <c r="H92" s="333"/>
      <c r="I92" s="347"/>
      <c r="J92" s="333"/>
      <c r="K92" s="334"/>
      <c r="L92" s="333"/>
      <c r="M92" s="343"/>
      <c r="N92" s="344"/>
      <c r="O92" s="337"/>
      <c r="P92" s="671"/>
      <c r="Q92" s="672"/>
      <c r="R92" s="673"/>
    </row>
    <row r="93" spans="1:18" x14ac:dyDescent="0.2">
      <c r="A93" s="740"/>
      <c r="B93" s="654"/>
      <c r="C93" s="741"/>
      <c r="D93" s="338"/>
      <c r="E93" s="330"/>
      <c r="F93" s="331"/>
      <c r="G93" s="332"/>
      <c r="H93" s="333"/>
      <c r="I93" s="330"/>
      <c r="J93" s="333"/>
      <c r="K93" s="334"/>
      <c r="L93" s="333"/>
      <c r="M93" s="343"/>
      <c r="N93" s="344"/>
      <c r="O93" s="337"/>
      <c r="P93" s="671"/>
      <c r="Q93" s="672"/>
      <c r="R93" s="673"/>
    </row>
    <row r="94" spans="1:18" x14ac:dyDescent="0.2">
      <c r="A94" s="671"/>
      <c r="B94" s="672"/>
      <c r="C94" s="673"/>
      <c r="D94" s="338"/>
      <c r="E94" s="330"/>
      <c r="F94" s="331"/>
      <c r="G94" s="332"/>
      <c r="H94" s="333"/>
      <c r="I94" s="347"/>
      <c r="J94" s="24"/>
      <c r="K94" s="334"/>
      <c r="L94" s="333"/>
      <c r="M94" s="343"/>
      <c r="N94" s="344"/>
      <c r="O94" s="337"/>
      <c r="P94" s="671"/>
      <c r="Q94" s="672"/>
      <c r="R94" s="673"/>
    </row>
    <row r="95" spans="1:18" x14ac:dyDescent="0.2">
      <c r="A95" s="671"/>
      <c r="B95" s="672"/>
      <c r="C95" s="673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671"/>
      <c r="Q95" s="672"/>
      <c r="R95" s="673"/>
    </row>
    <row r="96" spans="1:18" x14ac:dyDescent="0.2">
      <c r="A96" s="671"/>
      <c r="B96" s="672"/>
      <c r="C96" s="673"/>
      <c r="D96" s="338"/>
      <c r="E96" s="330"/>
      <c r="F96" s="331"/>
      <c r="G96" s="332"/>
      <c r="H96" s="333"/>
      <c r="I96" s="347"/>
      <c r="J96" s="333"/>
      <c r="K96" s="334"/>
      <c r="L96" s="333"/>
      <c r="M96" s="343"/>
      <c r="N96" s="344"/>
      <c r="O96" s="337"/>
      <c r="P96" s="671"/>
      <c r="Q96" s="672"/>
      <c r="R96" s="673"/>
    </row>
    <row r="97" spans="1:18" x14ac:dyDescent="0.2">
      <c r="A97" s="671"/>
      <c r="B97" s="672"/>
      <c r="C97" s="673"/>
      <c r="D97" s="338"/>
      <c r="E97" s="330"/>
      <c r="F97" s="331"/>
      <c r="G97" s="332"/>
      <c r="H97" s="333"/>
      <c r="I97" s="347"/>
      <c r="J97" s="333"/>
      <c r="K97" s="334"/>
      <c r="L97" s="333"/>
      <c r="M97" s="343"/>
      <c r="N97" s="344"/>
      <c r="O97" s="337"/>
      <c r="P97" s="671"/>
      <c r="Q97" s="672"/>
      <c r="R97" s="673"/>
    </row>
    <row r="98" spans="1:18" x14ac:dyDescent="0.2">
      <c r="A98" s="671"/>
      <c r="B98" s="672"/>
      <c r="C98" s="673"/>
      <c r="D98" s="338"/>
      <c r="E98" s="330"/>
      <c r="F98" s="331"/>
      <c r="G98" s="281"/>
      <c r="H98" s="333"/>
      <c r="I98" s="347"/>
      <c r="J98" s="333"/>
      <c r="K98" s="334"/>
      <c r="L98" s="333"/>
      <c r="M98" s="343"/>
      <c r="N98" s="344"/>
      <c r="O98" s="337"/>
      <c r="P98" s="671"/>
      <c r="Q98" s="672"/>
      <c r="R98" s="673"/>
    </row>
    <row r="99" spans="1:18" x14ac:dyDescent="0.2">
      <c r="A99" s="740"/>
      <c r="B99" s="654"/>
      <c r="C99" s="741"/>
      <c r="D99" s="338"/>
      <c r="E99" s="330"/>
      <c r="F99" s="331"/>
      <c r="G99" s="332"/>
      <c r="H99" s="333"/>
      <c r="I99" s="330"/>
      <c r="J99" s="333"/>
      <c r="K99" s="334"/>
      <c r="L99" s="333"/>
      <c r="M99" s="343"/>
      <c r="N99" s="344"/>
      <c r="O99" s="337"/>
      <c r="P99" s="671"/>
      <c r="Q99" s="672"/>
      <c r="R99" s="673"/>
    </row>
    <row r="100" spans="1:18" x14ac:dyDescent="0.2">
      <c r="A100" s="671"/>
      <c r="B100" s="672"/>
      <c r="C100" s="673"/>
      <c r="D100" s="338"/>
      <c r="E100" s="330"/>
      <c r="F100" s="331"/>
      <c r="G100" s="332"/>
      <c r="H100" s="333"/>
      <c r="I100" s="330"/>
      <c r="J100" s="333"/>
      <c r="K100" s="334"/>
      <c r="L100" s="333"/>
      <c r="M100" s="343"/>
      <c r="N100" s="344"/>
      <c r="O100" s="337"/>
      <c r="P100" s="671"/>
      <c r="Q100" s="672"/>
      <c r="R100" s="673"/>
    </row>
    <row r="101" spans="1:18" x14ac:dyDescent="0.2">
      <c r="A101" s="671"/>
      <c r="B101" s="672"/>
      <c r="C101" s="673"/>
      <c r="D101" s="338"/>
      <c r="E101" s="330"/>
      <c r="F101" s="331"/>
      <c r="G101" s="332"/>
      <c r="H101" s="333"/>
      <c r="I101" s="330"/>
      <c r="J101" s="333"/>
      <c r="K101" s="349"/>
      <c r="L101" s="24"/>
      <c r="M101" s="343"/>
      <c r="N101" s="344"/>
      <c r="O101" s="337"/>
      <c r="P101" s="671"/>
      <c r="Q101" s="672"/>
      <c r="R101" s="673"/>
    </row>
    <row r="102" spans="1:18" x14ac:dyDescent="0.2">
      <c r="A102" s="671"/>
      <c r="B102" s="672"/>
      <c r="C102" s="673"/>
      <c r="D102" s="338"/>
      <c r="E102" s="330"/>
      <c r="F102" s="331"/>
      <c r="G102" s="332"/>
      <c r="H102" s="333"/>
      <c r="I102" s="330"/>
      <c r="J102" s="333"/>
      <c r="K102" s="60"/>
      <c r="L102" s="333"/>
      <c r="M102" s="341"/>
      <c r="N102" s="33"/>
      <c r="O102" s="337"/>
      <c r="P102" s="671"/>
      <c r="Q102" s="672"/>
      <c r="R102" s="673"/>
    </row>
    <row r="103" spans="1:18" x14ac:dyDescent="0.2">
      <c r="A103" s="671"/>
      <c r="B103" s="672"/>
      <c r="C103" s="673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671"/>
      <c r="Q103" s="672"/>
      <c r="R103" s="673"/>
    </row>
    <row r="104" spans="1:18" x14ac:dyDescent="0.2">
      <c r="A104" s="755"/>
      <c r="B104" s="756"/>
      <c r="C104" s="757"/>
      <c r="D104" s="338"/>
      <c r="E104" s="330"/>
      <c r="F104" s="331"/>
      <c r="G104" s="332"/>
      <c r="H104" s="333"/>
      <c r="I104" s="330"/>
      <c r="J104" s="333"/>
      <c r="K104" s="334"/>
      <c r="L104" s="333"/>
      <c r="M104" s="343"/>
      <c r="N104" s="344"/>
      <c r="O104" s="337"/>
      <c r="P104" s="671"/>
      <c r="Q104" s="672"/>
      <c r="R104" s="673"/>
    </row>
    <row r="105" spans="1:18" x14ac:dyDescent="0.2">
      <c r="A105" s="671"/>
      <c r="B105" s="672"/>
      <c r="C105" s="673"/>
      <c r="D105" s="22"/>
      <c r="E105" s="330"/>
      <c r="F105" s="331"/>
      <c r="G105" s="332"/>
      <c r="H105" s="333"/>
      <c r="I105" s="330"/>
      <c r="J105" s="24"/>
      <c r="K105" s="334"/>
      <c r="L105" s="333"/>
      <c r="M105" s="343"/>
      <c r="N105" s="344"/>
      <c r="O105" s="337"/>
      <c r="P105" s="671"/>
      <c r="Q105" s="672"/>
      <c r="R105" s="673"/>
    </row>
    <row r="106" spans="1:18" x14ac:dyDescent="0.2">
      <c r="A106" s="671"/>
      <c r="B106" s="672"/>
      <c r="C106" s="673"/>
      <c r="D106" s="338"/>
      <c r="E106" s="330"/>
      <c r="F106" s="331"/>
      <c r="G106" s="332"/>
      <c r="H106" s="333"/>
      <c r="I106" s="347"/>
      <c r="J106" s="333"/>
      <c r="K106" s="334"/>
      <c r="L106" s="333"/>
      <c r="M106" s="343"/>
      <c r="N106" s="344"/>
      <c r="O106" s="337"/>
      <c r="P106" s="671"/>
      <c r="Q106" s="672"/>
      <c r="R106" s="673"/>
    </row>
    <row r="107" spans="1:18" x14ac:dyDescent="0.2">
      <c r="A107" s="671"/>
      <c r="B107" s="672"/>
      <c r="C107" s="673"/>
      <c r="D107" s="338"/>
      <c r="E107" s="330"/>
      <c r="F107" s="331"/>
      <c r="G107" s="332"/>
      <c r="H107" s="333"/>
      <c r="I107" s="330"/>
      <c r="J107" s="333"/>
      <c r="K107" s="349"/>
      <c r="L107" s="24"/>
      <c r="M107" s="343"/>
      <c r="N107" s="344"/>
      <c r="O107" s="337"/>
      <c r="P107" s="671"/>
      <c r="Q107" s="672"/>
      <c r="R107" s="673"/>
    </row>
    <row r="108" spans="1:18" x14ac:dyDescent="0.2">
      <c r="A108" s="677"/>
      <c r="B108" s="678"/>
      <c r="C108" s="679"/>
      <c r="D108" s="354"/>
      <c r="E108" s="355"/>
      <c r="F108" s="356"/>
      <c r="G108" s="357"/>
      <c r="H108" s="358"/>
      <c r="I108" s="355"/>
      <c r="J108" s="358"/>
      <c r="K108" s="62"/>
      <c r="L108" s="358"/>
      <c r="M108" s="359"/>
      <c r="N108" s="37"/>
      <c r="O108" s="337"/>
      <c r="P108" s="671"/>
      <c r="Q108" s="672"/>
      <c r="R108" s="673"/>
    </row>
    <row r="109" spans="1:18" x14ac:dyDescent="0.2">
      <c r="O109" s="337"/>
      <c r="P109" s="671"/>
      <c r="Q109" s="672"/>
      <c r="R109" s="673"/>
    </row>
    <row r="110" spans="1:18" x14ac:dyDescent="0.2">
      <c r="O110" s="337"/>
      <c r="P110" s="671"/>
      <c r="Q110" s="672"/>
      <c r="R110" s="673"/>
    </row>
    <row r="111" spans="1:18" x14ac:dyDescent="0.2">
      <c r="O111" s="360"/>
      <c r="P111" s="677"/>
      <c r="Q111" s="678"/>
      <c r="R111" s="679"/>
    </row>
  </sheetData>
  <mergeCells count="215">
    <mergeCell ref="L1:M1"/>
    <mergeCell ref="L2:M2"/>
    <mergeCell ref="D3:F3"/>
    <mergeCell ref="L3:M3"/>
    <mergeCell ref="A4:C4"/>
    <mergeCell ref="D4:F4"/>
    <mergeCell ref="L4:M4"/>
    <mergeCell ref="A13:C13"/>
    <mergeCell ref="P13:R13"/>
    <mergeCell ref="P2:Q2"/>
    <mergeCell ref="A19:C19"/>
    <mergeCell ref="P19:R19"/>
    <mergeCell ref="P6:R6"/>
    <mergeCell ref="A7:C7"/>
    <mergeCell ref="P7:R7"/>
    <mergeCell ref="A8:C8"/>
    <mergeCell ref="P8:R8"/>
    <mergeCell ref="A14:C14"/>
    <mergeCell ref="P9:R9"/>
    <mergeCell ref="P14:R14"/>
    <mergeCell ref="A16:C16"/>
    <mergeCell ref="P16:R16"/>
    <mergeCell ref="A17:C17"/>
    <mergeCell ref="P17:R17"/>
    <mergeCell ref="A18:C18"/>
    <mergeCell ref="P18:R18"/>
    <mergeCell ref="A15:C15"/>
    <mergeCell ref="P15:R15"/>
    <mergeCell ref="A10:C10"/>
    <mergeCell ref="P10:R10"/>
    <mergeCell ref="A11:C11"/>
    <mergeCell ref="P11:R11"/>
    <mergeCell ref="A12:C12"/>
    <mergeCell ref="P12:R12"/>
    <mergeCell ref="A24:C24"/>
    <mergeCell ref="P27:R27"/>
    <mergeCell ref="A22:C22"/>
    <mergeCell ref="P22:R22"/>
    <mergeCell ref="A23:C23"/>
    <mergeCell ref="P23:R23"/>
    <mergeCell ref="P24:R24"/>
    <mergeCell ref="A20:C20"/>
    <mergeCell ref="P20:R20"/>
    <mergeCell ref="A21:C21"/>
    <mergeCell ref="P21:R21"/>
    <mergeCell ref="A28:C28"/>
    <mergeCell ref="P31:R31"/>
    <mergeCell ref="A29:C29"/>
    <mergeCell ref="P32:R32"/>
    <mergeCell ref="A30:C30"/>
    <mergeCell ref="P33:R33"/>
    <mergeCell ref="A25:C25"/>
    <mergeCell ref="P28:R28"/>
    <mergeCell ref="A26:C26"/>
    <mergeCell ref="P29:R29"/>
    <mergeCell ref="A27:C27"/>
    <mergeCell ref="P30:R30"/>
    <mergeCell ref="P25:R25"/>
    <mergeCell ref="P26:R26"/>
    <mergeCell ref="A34:C34"/>
    <mergeCell ref="P37:R37"/>
    <mergeCell ref="A35:C35"/>
    <mergeCell ref="P38:R38"/>
    <mergeCell ref="A36:C36"/>
    <mergeCell ref="P39:R39"/>
    <mergeCell ref="A31:C31"/>
    <mergeCell ref="P34:R34"/>
    <mergeCell ref="A32:C32"/>
    <mergeCell ref="P35:R35"/>
    <mergeCell ref="A33:C33"/>
    <mergeCell ref="P36:R36"/>
    <mergeCell ref="A40:C40"/>
    <mergeCell ref="P43:R43"/>
    <mergeCell ref="A41:C41"/>
    <mergeCell ref="P44:R44"/>
    <mergeCell ref="A42:C42"/>
    <mergeCell ref="P45:R45"/>
    <mergeCell ref="A37:C37"/>
    <mergeCell ref="P40:R40"/>
    <mergeCell ref="A38:C38"/>
    <mergeCell ref="P41:R41"/>
    <mergeCell ref="A39:C39"/>
    <mergeCell ref="P42:R42"/>
    <mergeCell ref="A46:C46"/>
    <mergeCell ref="P49:R49"/>
    <mergeCell ref="A47:C47"/>
    <mergeCell ref="P50:R50"/>
    <mergeCell ref="A48:C48"/>
    <mergeCell ref="P51:R51"/>
    <mergeCell ref="A43:C43"/>
    <mergeCell ref="P46:R46"/>
    <mergeCell ref="A44:C44"/>
    <mergeCell ref="P47:R47"/>
    <mergeCell ref="A45:C45"/>
    <mergeCell ref="P48:R48"/>
    <mergeCell ref="A52:C52"/>
    <mergeCell ref="P55:R55"/>
    <mergeCell ref="A53:C53"/>
    <mergeCell ref="P56:R56"/>
    <mergeCell ref="A54:C54"/>
    <mergeCell ref="P57:R57"/>
    <mergeCell ref="A49:C49"/>
    <mergeCell ref="P52:R52"/>
    <mergeCell ref="A50:C50"/>
    <mergeCell ref="P53:R53"/>
    <mergeCell ref="A51:C51"/>
    <mergeCell ref="P54:R54"/>
    <mergeCell ref="A58:C58"/>
    <mergeCell ref="P61:R61"/>
    <mergeCell ref="A59:C59"/>
    <mergeCell ref="P62:R62"/>
    <mergeCell ref="A60:C60"/>
    <mergeCell ref="P63:R63"/>
    <mergeCell ref="A55:C55"/>
    <mergeCell ref="P58:R58"/>
    <mergeCell ref="A56:C56"/>
    <mergeCell ref="P59:R59"/>
    <mergeCell ref="A57:C57"/>
    <mergeCell ref="P60:R60"/>
    <mergeCell ref="A64:C64"/>
    <mergeCell ref="P67:R67"/>
    <mergeCell ref="A65:C65"/>
    <mergeCell ref="P68:R68"/>
    <mergeCell ref="A66:C66"/>
    <mergeCell ref="P69:R69"/>
    <mergeCell ref="A61:C61"/>
    <mergeCell ref="P64:R64"/>
    <mergeCell ref="A62:C62"/>
    <mergeCell ref="P65:R65"/>
    <mergeCell ref="A63:C63"/>
    <mergeCell ref="P66:R66"/>
    <mergeCell ref="A70:C70"/>
    <mergeCell ref="P73:R73"/>
    <mergeCell ref="A71:C71"/>
    <mergeCell ref="P74:R74"/>
    <mergeCell ref="A72:C72"/>
    <mergeCell ref="P75:R75"/>
    <mergeCell ref="A67:C67"/>
    <mergeCell ref="P70:R70"/>
    <mergeCell ref="A68:C68"/>
    <mergeCell ref="P71:R71"/>
    <mergeCell ref="A69:C69"/>
    <mergeCell ref="P72:R72"/>
    <mergeCell ref="A76:C76"/>
    <mergeCell ref="P79:R79"/>
    <mergeCell ref="A77:C77"/>
    <mergeCell ref="P80:R80"/>
    <mergeCell ref="A78:C78"/>
    <mergeCell ref="P81:R81"/>
    <mergeCell ref="A73:C73"/>
    <mergeCell ref="P76:R76"/>
    <mergeCell ref="A74:C74"/>
    <mergeCell ref="P77:R77"/>
    <mergeCell ref="A75:C75"/>
    <mergeCell ref="P78:R78"/>
    <mergeCell ref="A82:C82"/>
    <mergeCell ref="P85:R85"/>
    <mergeCell ref="A83:C83"/>
    <mergeCell ref="P86:R86"/>
    <mergeCell ref="A84:C84"/>
    <mergeCell ref="P87:R87"/>
    <mergeCell ref="A79:C79"/>
    <mergeCell ref="P82:R82"/>
    <mergeCell ref="A80:C80"/>
    <mergeCell ref="P83:R83"/>
    <mergeCell ref="A81:C81"/>
    <mergeCell ref="P84:R84"/>
    <mergeCell ref="A88:C88"/>
    <mergeCell ref="P91:R91"/>
    <mergeCell ref="A89:C89"/>
    <mergeCell ref="P92:R92"/>
    <mergeCell ref="A90:C90"/>
    <mergeCell ref="P93:R93"/>
    <mergeCell ref="A85:C85"/>
    <mergeCell ref="P88:R88"/>
    <mergeCell ref="A86:C86"/>
    <mergeCell ref="P89:R89"/>
    <mergeCell ref="A87:C87"/>
    <mergeCell ref="P90:R90"/>
    <mergeCell ref="A94:C94"/>
    <mergeCell ref="P97:R97"/>
    <mergeCell ref="A95:C95"/>
    <mergeCell ref="P98:R98"/>
    <mergeCell ref="A96:C96"/>
    <mergeCell ref="P99:R99"/>
    <mergeCell ref="A91:C91"/>
    <mergeCell ref="P94:R94"/>
    <mergeCell ref="A92:C92"/>
    <mergeCell ref="P95:R95"/>
    <mergeCell ref="A93:C93"/>
    <mergeCell ref="P96:R96"/>
    <mergeCell ref="A100:C100"/>
    <mergeCell ref="P103:R103"/>
    <mergeCell ref="A101:C101"/>
    <mergeCell ref="P104:R104"/>
    <mergeCell ref="A102:C102"/>
    <mergeCell ref="P105:R105"/>
    <mergeCell ref="A97:C97"/>
    <mergeCell ref="P100:R100"/>
    <mergeCell ref="A98:C98"/>
    <mergeCell ref="P101:R101"/>
    <mergeCell ref="A99:C99"/>
    <mergeCell ref="P102:R102"/>
    <mergeCell ref="A106:C106"/>
    <mergeCell ref="P109:R109"/>
    <mergeCell ref="A107:C107"/>
    <mergeCell ref="P110:R110"/>
    <mergeCell ref="A108:C108"/>
    <mergeCell ref="P111:R111"/>
    <mergeCell ref="A103:C103"/>
    <mergeCell ref="P106:R106"/>
    <mergeCell ref="A104:C104"/>
    <mergeCell ref="P107:R107"/>
    <mergeCell ref="A105:C105"/>
    <mergeCell ref="P108:R108"/>
  </mergeCells>
  <hyperlinks>
    <hyperlink ref="D21" r:id="rId1"/>
    <hyperlink ref="D25" r:id="rId2"/>
    <hyperlink ref="D30" r:id="rId3"/>
    <hyperlink ref="D36" r:id="rId4"/>
    <hyperlink ref="D20" r:id="rId5"/>
    <hyperlink ref="O10" location="'Roofing Price'!A1" display="P7"/>
    <hyperlink ref="O15" location="'Roofing Price'!A1" display="P7"/>
    <hyperlink ref="O17" location="'Roofing Price'!A1" display="P7"/>
    <hyperlink ref="O28" location="'Roofing Price'!A1" display="P7"/>
    <hyperlink ref="O34" location="'Caulking Price'!A1" display="P8"/>
    <hyperlink ref="O21" location="'Roofing Price'!A1" display="P7"/>
    <hyperlink ref="O36" location="'Roofing Price'!A1" display="P7"/>
    <hyperlink ref="O20" location="'Steel Price'!A1" display="P5"/>
    <hyperlink ref="O22" location="'Steel Price'!A1" display="P5"/>
    <hyperlink ref="P2" location="'Table of Contents'!A1" display="Table of Contents"/>
  </hyperlinks>
  <pageMargins left="0.7" right="0.7" top="0.75" bottom="0.75" header="0.3" footer="0.3"/>
  <pageSetup orientation="portrait" r:id="rId6"/>
  <drawing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O14" sqref="O14"/>
    </sheetView>
  </sheetViews>
  <sheetFormatPr defaultRowHeight="12.75" x14ac:dyDescent="0.2"/>
  <cols>
    <col min="1" max="2" width="2.7109375" style="292" customWidth="1"/>
    <col min="3" max="3" width="18.28515625" style="469" bestFit="1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10" style="292" bestFit="1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709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666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382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622</v>
      </c>
      <c r="D9" s="575">
        <v>7</v>
      </c>
      <c r="E9" s="263">
        <f>Insulation!M17/100</f>
        <v>100.36</v>
      </c>
      <c r="F9" s="263" t="s">
        <v>623</v>
      </c>
      <c r="G9" s="434">
        <v>86.38</v>
      </c>
      <c r="H9" s="435">
        <f>G9*E9</f>
        <v>8669.0967999999993</v>
      </c>
      <c r="I9" s="436" t="s">
        <v>624</v>
      </c>
      <c r="J9" s="263">
        <v>50</v>
      </c>
      <c r="K9" s="263">
        <f>E9/J9</f>
        <v>2.0072000000000001</v>
      </c>
      <c r="L9" s="263">
        <f>8*K9</f>
        <v>16.057600000000001</v>
      </c>
      <c r="M9" s="263" t="s">
        <v>625</v>
      </c>
      <c r="N9" s="437">
        <v>1</v>
      </c>
      <c r="O9" s="434">
        <v>19.7</v>
      </c>
      <c r="P9" s="438">
        <f>O12*L9</f>
        <v>1366.5017599999999</v>
      </c>
      <c r="Q9" s="439" t="s">
        <v>627</v>
      </c>
      <c r="R9" s="434">
        <v>179.2</v>
      </c>
      <c r="S9" s="435">
        <f>R9*K9</f>
        <v>359.69024000000002</v>
      </c>
      <c r="T9" s="478">
        <f>S9+P9+H9</f>
        <v>10395.288799999998</v>
      </c>
      <c r="U9" s="436">
        <f>T9/E9</f>
        <v>103.57999999999998</v>
      </c>
      <c r="V9" s="441" t="str">
        <f>F9</f>
        <v>sq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/>
      <c r="I10" s="436"/>
      <c r="J10" s="263"/>
      <c r="K10" s="263"/>
      <c r="L10" s="263"/>
      <c r="M10" s="442" t="s">
        <v>626</v>
      </c>
      <c r="N10" s="443">
        <v>2</v>
      </c>
      <c r="O10" s="434">
        <v>18.7</v>
      </c>
      <c r="P10" s="438"/>
      <c r="Q10" s="439"/>
      <c r="R10" s="434"/>
      <c r="S10" s="435"/>
      <c r="T10" s="478"/>
      <c r="U10" s="436"/>
      <c r="V10" s="441"/>
    </row>
    <row r="11" spans="1:24" x14ac:dyDescent="0.2">
      <c r="A11" s="444"/>
      <c r="B11" s="281"/>
      <c r="C11" s="432"/>
      <c r="D11" s="263"/>
      <c r="E11" s="263"/>
      <c r="F11" s="263"/>
      <c r="G11" s="434"/>
      <c r="H11" s="435"/>
      <c r="I11" s="436"/>
      <c r="J11" s="263"/>
      <c r="K11" s="263"/>
      <c r="L11" s="263"/>
      <c r="M11" s="263" t="s">
        <v>626</v>
      </c>
      <c r="N11" s="437">
        <v>2</v>
      </c>
      <c r="O11" s="434">
        <v>14</v>
      </c>
      <c r="P11" s="438"/>
      <c r="Q11" s="439"/>
      <c r="R11" s="434"/>
      <c r="S11" s="435"/>
      <c r="T11" s="478"/>
      <c r="U11" s="436"/>
      <c r="V11" s="441"/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>
        <f>O9+O10*N10+O11*N11</f>
        <v>85.1</v>
      </c>
      <c r="P12" s="438"/>
      <c r="Q12" s="439"/>
      <c r="R12" s="434"/>
      <c r="S12" s="435"/>
      <c r="T12" s="478"/>
      <c r="U12" s="436"/>
      <c r="V12" s="441"/>
    </row>
    <row r="13" spans="1:24" x14ac:dyDescent="0.2">
      <c r="A13" s="431"/>
      <c r="B13" s="281"/>
      <c r="C13" s="432"/>
      <c r="D13" s="263"/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/>
      <c r="U13" s="436"/>
      <c r="V13" s="441"/>
    </row>
    <row r="14" spans="1:24" ht="15" x14ac:dyDescent="0.25">
      <c r="A14" s="444"/>
      <c r="B14" s="281"/>
      <c r="C14" s="432" t="s">
        <v>629</v>
      </c>
      <c r="D14" s="575">
        <v>2</v>
      </c>
      <c r="E14" s="263">
        <f>Concrete!M53</f>
        <v>10141</v>
      </c>
      <c r="F14" s="263" t="s">
        <v>348</v>
      </c>
      <c r="G14" s="434">
        <v>0.41</v>
      </c>
      <c r="H14" s="435">
        <f>G14*E14</f>
        <v>4157.8099999999995</v>
      </c>
      <c r="I14" s="436" t="s">
        <v>628</v>
      </c>
      <c r="J14" s="263">
        <v>3000</v>
      </c>
      <c r="K14" s="263">
        <f>E14/J14</f>
        <v>3.3803333333333332</v>
      </c>
      <c r="L14" s="263">
        <f>8*K14</f>
        <v>27.042666666666666</v>
      </c>
      <c r="M14" s="263" t="s">
        <v>625</v>
      </c>
      <c r="N14" s="437">
        <v>1</v>
      </c>
      <c r="O14" s="434">
        <v>19.7</v>
      </c>
      <c r="P14" s="438">
        <f>O17*L14</f>
        <v>3312.7266666666665</v>
      </c>
      <c r="Q14" s="439" t="s">
        <v>627</v>
      </c>
      <c r="R14" s="434">
        <v>179.2</v>
      </c>
      <c r="S14" s="435">
        <f>R17*K14</f>
        <v>1529.9388666666666</v>
      </c>
      <c r="T14" s="478">
        <f>S14+P14+H14</f>
        <v>9000.4755333333324</v>
      </c>
      <c r="U14" s="436">
        <f>T14/E14</f>
        <v>0.88753333333333329</v>
      </c>
      <c r="V14" s="441" t="str">
        <f>F14</f>
        <v>sf</v>
      </c>
    </row>
    <row r="15" spans="1:24" x14ac:dyDescent="0.2">
      <c r="A15" s="431"/>
      <c r="B15" s="281"/>
      <c r="C15" s="432"/>
      <c r="D15" s="263"/>
      <c r="E15" s="263"/>
      <c r="F15" s="263"/>
      <c r="G15" s="434"/>
      <c r="H15" s="435"/>
      <c r="I15" s="436"/>
      <c r="J15" s="263"/>
      <c r="K15" s="263"/>
      <c r="L15" s="263"/>
      <c r="M15" s="442" t="s">
        <v>626</v>
      </c>
      <c r="N15" s="443">
        <v>4</v>
      </c>
      <c r="O15" s="434">
        <v>18.7</v>
      </c>
      <c r="P15" s="438"/>
      <c r="Q15" s="439" t="s">
        <v>630</v>
      </c>
      <c r="R15" s="434">
        <v>91</v>
      </c>
      <c r="S15" s="435"/>
      <c r="T15" s="478"/>
      <c r="U15" s="436"/>
      <c r="V15" s="441"/>
    </row>
    <row r="16" spans="1:24" x14ac:dyDescent="0.2">
      <c r="A16" s="431"/>
      <c r="B16" s="281"/>
      <c r="C16" s="432"/>
      <c r="D16" s="263"/>
      <c r="E16" s="263"/>
      <c r="F16" s="263"/>
      <c r="G16" s="434"/>
      <c r="H16" s="435"/>
      <c r="I16" s="436"/>
      <c r="J16" s="263"/>
      <c r="K16" s="263"/>
      <c r="L16" s="263"/>
      <c r="M16" s="263" t="s">
        <v>626</v>
      </c>
      <c r="N16" s="437">
        <v>2</v>
      </c>
      <c r="O16" s="434">
        <v>14</v>
      </c>
      <c r="P16" s="438"/>
      <c r="Q16" s="439" t="s">
        <v>631</v>
      </c>
      <c r="R16" s="434">
        <v>182.4</v>
      </c>
      <c r="S16" s="435"/>
      <c r="T16" s="478"/>
      <c r="U16" s="436"/>
      <c r="V16" s="441"/>
    </row>
    <row r="17" spans="1:22" x14ac:dyDescent="0.2">
      <c r="A17" s="444"/>
      <c r="B17" s="281"/>
      <c r="C17" s="43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>
        <f>O14+O15*N15+O16*N16</f>
        <v>122.5</v>
      </c>
      <c r="P17" s="438"/>
      <c r="Q17" s="439"/>
      <c r="R17" s="434">
        <f>SUM(R14:R16)</f>
        <v>452.6</v>
      </c>
      <c r="S17" s="435"/>
      <c r="T17" s="478"/>
      <c r="U17" s="436"/>
      <c r="V17" s="441"/>
    </row>
    <row r="18" spans="1:22" x14ac:dyDescent="0.2">
      <c r="A18" s="431"/>
      <c r="B18" s="281"/>
      <c r="C18" s="432"/>
      <c r="D18" s="263"/>
      <c r="E18" s="263"/>
      <c r="F18" s="263"/>
      <c r="G18" s="434"/>
      <c r="H18" s="435"/>
      <c r="I18" s="436"/>
      <c r="J18" s="263"/>
      <c r="K18" s="263"/>
      <c r="L18" s="263"/>
      <c r="M18" s="263"/>
      <c r="N18" s="437"/>
      <c r="O18" s="434"/>
      <c r="P18" s="438"/>
      <c r="Q18" s="439"/>
      <c r="R18" s="434"/>
      <c r="S18" s="435"/>
      <c r="T18" s="478"/>
      <c r="U18" s="436"/>
      <c r="V18" s="441"/>
    </row>
    <row r="19" spans="1:22" ht="15" x14ac:dyDescent="0.25">
      <c r="A19" s="431"/>
      <c r="B19" s="281"/>
      <c r="C19" s="432" t="s">
        <v>632</v>
      </c>
      <c r="D19" s="575">
        <v>7</v>
      </c>
      <c r="E19" s="476">
        <f>Insulation!M15</f>
        <v>14186.894736842105</v>
      </c>
      <c r="F19" s="263" t="s">
        <v>348</v>
      </c>
      <c r="G19" s="434">
        <v>0.28999999999999998</v>
      </c>
      <c r="H19" s="435">
        <f>G19*E19</f>
        <v>4114.1994736842098</v>
      </c>
      <c r="I19" s="436" t="s">
        <v>491</v>
      </c>
      <c r="J19" s="263">
        <v>1600</v>
      </c>
      <c r="K19" s="263">
        <f>E19/J19</f>
        <v>8.8668092105263163</v>
      </c>
      <c r="L19" s="263">
        <f>8*K19</f>
        <v>70.934473684210531</v>
      </c>
      <c r="M19" s="263" t="s">
        <v>531</v>
      </c>
      <c r="N19" s="437">
        <v>2</v>
      </c>
      <c r="O19" s="434">
        <v>22.05</v>
      </c>
      <c r="P19" s="438">
        <f>O19*N19*L19</f>
        <v>3128.2102894736845</v>
      </c>
      <c r="Q19" s="439"/>
      <c r="R19" s="434"/>
      <c r="S19" s="435"/>
      <c r="T19" s="478">
        <f>S19+P19+H19</f>
        <v>7242.4097631578943</v>
      </c>
      <c r="U19" s="436">
        <f>T19/E19</f>
        <v>0.51049999999999995</v>
      </c>
      <c r="V19" s="441" t="str">
        <f>F19</f>
        <v>sf</v>
      </c>
    </row>
    <row r="20" spans="1:22" x14ac:dyDescent="0.2">
      <c r="A20" s="444"/>
      <c r="B20" s="281"/>
      <c r="C20" s="43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/>
      <c r="P20" s="438"/>
      <c r="Q20" s="439"/>
      <c r="R20" s="434"/>
      <c r="S20" s="435"/>
      <c r="T20" s="478"/>
      <c r="U20" s="436"/>
      <c r="V20" s="441"/>
    </row>
    <row r="21" spans="1:22" ht="15" x14ac:dyDescent="0.25">
      <c r="A21" s="431"/>
      <c r="B21" s="281"/>
      <c r="C21" s="432" t="s">
        <v>240</v>
      </c>
      <c r="D21" s="575">
        <v>7</v>
      </c>
      <c r="E21" s="263">
        <f>Insulation!M28</f>
        <v>243.25</v>
      </c>
      <c r="F21" s="263" t="s">
        <v>348</v>
      </c>
      <c r="G21" s="434">
        <v>1.23</v>
      </c>
      <c r="H21" s="435">
        <f>G21*E21</f>
        <v>299.19749999999999</v>
      </c>
      <c r="I21" s="436" t="s">
        <v>634</v>
      </c>
      <c r="J21" s="263">
        <v>145</v>
      </c>
      <c r="K21" s="263">
        <f>E21/J21</f>
        <v>1.6775862068965517</v>
      </c>
      <c r="L21" s="263">
        <f>8*K21</f>
        <v>13.420689655172414</v>
      </c>
      <c r="M21" s="263" t="s">
        <v>635</v>
      </c>
      <c r="N21" s="437">
        <v>1</v>
      </c>
      <c r="O21" s="434">
        <v>18.7</v>
      </c>
      <c r="P21" s="438">
        <f>O21*N21*L21</f>
        <v>250.96689655172412</v>
      </c>
      <c r="Q21" s="439"/>
      <c r="R21" s="434"/>
      <c r="S21" s="435"/>
      <c r="T21" s="478">
        <f>S21+P21+H21</f>
        <v>550.16439655172417</v>
      </c>
      <c r="U21" s="436">
        <f>T21/E21</f>
        <v>2.2617241379310347</v>
      </c>
      <c r="V21" s="441" t="str">
        <f>F21</f>
        <v>sf</v>
      </c>
    </row>
    <row r="22" spans="1:22" x14ac:dyDescent="0.2">
      <c r="A22" s="431"/>
      <c r="B22" s="281"/>
      <c r="C22" s="43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ht="15" x14ac:dyDescent="0.25">
      <c r="A23" s="431"/>
      <c r="B23" s="281"/>
      <c r="C23" s="432" t="s">
        <v>239</v>
      </c>
      <c r="D23" s="575">
        <v>7</v>
      </c>
      <c r="E23" s="263">
        <f>Insulation!M21</f>
        <v>8040</v>
      </c>
      <c r="F23" s="263" t="s">
        <v>348</v>
      </c>
      <c r="G23" s="434">
        <v>0.13</v>
      </c>
      <c r="H23" s="435">
        <f>G23*E23</f>
        <v>1045.2</v>
      </c>
      <c r="I23" s="436" t="s">
        <v>487</v>
      </c>
      <c r="J23" s="263">
        <v>3800</v>
      </c>
      <c r="K23" s="263">
        <f>E23/J23</f>
        <v>2.1157894736842104</v>
      </c>
      <c r="L23" s="263">
        <f>8*K23</f>
        <v>16.926315789473684</v>
      </c>
      <c r="M23" s="263" t="s">
        <v>531</v>
      </c>
      <c r="N23" s="437">
        <v>1</v>
      </c>
      <c r="O23" s="434">
        <v>22.05</v>
      </c>
      <c r="P23" s="438">
        <f>O23*N23*L23</f>
        <v>373.22526315789474</v>
      </c>
      <c r="Q23" s="439"/>
      <c r="R23" s="434"/>
      <c r="S23" s="435"/>
      <c r="T23" s="478">
        <f>S23+P23+H23</f>
        <v>1418.4252631578947</v>
      </c>
      <c r="U23" s="436">
        <f>T23/E23</f>
        <v>0.17642105263157895</v>
      </c>
      <c r="V23" s="441" t="str">
        <f>F23</f>
        <v>sf</v>
      </c>
    </row>
    <row r="24" spans="1:22" x14ac:dyDescent="0.2">
      <c r="A24" s="431"/>
      <c r="B24" s="281"/>
      <c r="C24" s="43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ht="15" x14ac:dyDescent="0.25">
      <c r="A25" s="431"/>
      <c r="B25" s="281"/>
      <c r="C25" s="432" t="s">
        <v>636</v>
      </c>
      <c r="D25" s="575">
        <v>7</v>
      </c>
      <c r="E25" s="476">
        <f>Insulation!M36</f>
        <v>217</v>
      </c>
      <c r="F25" s="263" t="s">
        <v>348</v>
      </c>
      <c r="G25" s="434">
        <v>1.1399999999999999</v>
      </c>
      <c r="H25" s="435">
        <f>G25*E25</f>
        <v>247.37999999999997</v>
      </c>
      <c r="I25" s="436" t="s">
        <v>491</v>
      </c>
      <c r="J25" s="263">
        <v>750</v>
      </c>
      <c r="K25" s="263">
        <f>E25/J25</f>
        <v>0.28933333333333333</v>
      </c>
      <c r="L25" s="263">
        <f>8*K25</f>
        <v>2.3146666666666667</v>
      </c>
      <c r="M25" s="263" t="s">
        <v>531</v>
      </c>
      <c r="N25" s="437">
        <v>2</v>
      </c>
      <c r="O25" s="434">
        <v>22.05</v>
      </c>
      <c r="P25" s="438">
        <f>O25*N25*L25</f>
        <v>102.07680000000001</v>
      </c>
      <c r="Q25" s="439"/>
      <c r="R25" s="434"/>
      <c r="S25" s="435"/>
      <c r="T25" s="478">
        <f>S25+P25+H25</f>
        <v>349.45679999999999</v>
      </c>
      <c r="U25" s="436">
        <f>T25/E25</f>
        <v>1.6103999999999998</v>
      </c>
      <c r="V25" s="441" t="str">
        <f>F25</f>
        <v>sf</v>
      </c>
    </row>
    <row r="26" spans="1:22" x14ac:dyDescent="0.2">
      <c r="A26" s="431"/>
      <c r="B26" s="281"/>
      <c r="C26" s="43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43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43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43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43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x14ac:dyDescent="0.2">
      <c r="A31" s="431"/>
      <c r="B31" s="281"/>
      <c r="C31" s="43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43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43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43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43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43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43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43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43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43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44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SUM(H8:H41)</f>
        <v>18532.883773684207</v>
      </c>
      <c r="I42" s="462"/>
      <c r="J42" s="463"/>
      <c r="K42" s="461">
        <f>SUM(K8:K41)</f>
        <v>18.337051557773744</v>
      </c>
      <c r="L42" s="461">
        <f>SUM(L8:L41)</f>
        <v>146.69641246218995</v>
      </c>
      <c r="M42" s="462"/>
      <c r="N42" s="464"/>
      <c r="O42" s="463"/>
      <c r="P42" s="461">
        <f>SUM(P8:P41)</f>
        <v>8533.7076758499697</v>
      </c>
      <c r="Q42" s="462"/>
      <c r="R42" s="463"/>
      <c r="S42" s="465">
        <f>SUM(S8:S41)</f>
        <v>1889.6291066666668</v>
      </c>
      <c r="T42" s="461">
        <f>SUM(T8:T41)</f>
        <v>28956.220556200846</v>
      </c>
      <c r="U42" s="467" t="s">
        <v>397</v>
      </c>
      <c r="V42" s="468"/>
    </row>
    <row r="43" spans="1:22" x14ac:dyDescent="0.2">
      <c r="C43" s="469" t="s">
        <v>637</v>
      </c>
      <c r="N43" s="470"/>
      <c r="S43" s="471">
        <v>0.3</v>
      </c>
      <c r="T43" s="503">
        <f>T42*1.3</f>
        <v>37643.086723061104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Insulation!A1" display="Insulation!A1"/>
    <hyperlink ref="D19" location="Insulation!A1" display="Insulation!A1"/>
    <hyperlink ref="D21" location="Insulation!A1" display="Insulation!A1"/>
    <hyperlink ref="D25" location="Insulation!A1" display="Insulation!A1"/>
    <hyperlink ref="D14" location="Concrete!A1" display="Concrete!A1"/>
    <hyperlink ref="D23" location="Insulation!A1" display="Insulation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A6" sqref="A6"/>
    </sheetView>
  </sheetViews>
  <sheetFormatPr defaultRowHeight="12.75" x14ac:dyDescent="0.2"/>
  <cols>
    <col min="1" max="2" width="2.7109375" style="292" customWidth="1"/>
    <col min="3" max="3" width="15.85546875" style="292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290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710</v>
      </c>
      <c r="U1" s="657"/>
      <c r="V1" s="657"/>
    </row>
    <row r="2" spans="1:24" ht="15" x14ac:dyDescent="0.25">
      <c r="A2" s="290"/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291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657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665</v>
      </c>
      <c r="I4" s="656"/>
      <c r="J4" s="656"/>
      <c r="K4" s="656"/>
      <c r="L4" s="656"/>
      <c r="M4" s="656"/>
      <c r="N4" s="656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291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75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525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526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>
        <f>F8</f>
        <v>0</v>
      </c>
    </row>
    <row r="9" spans="1:24" ht="15" x14ac:dyDescent="0.25">
      <c r="A9" s="431"/>
      <c r="B9" s="281"/>
      <c r="C9" s="262" t="s">
        <v>248</v>
      </c>
      <c r="D9" s="575">
        <v>7</v>
      </c>
      <c r="E9" s="263">
        <f>Insulation!M34</f>
        <v>2756</v>
      </c>
      <c r="F9" s="263" t="s">
        <v>195</v>
      </c>
      <c r="G9" s="434">
        <v>0.56000000000000005</v>
      </c>
      <c r="H9" s="435">
        <f>G9*E9</f>
        <v>1543.3600000000001</v>
      </c>
      <c r="I9" s="436" t="s">
        <v>638</v>
      </c>
      <c r="J9" s="263">
        <v>294</v>
      </c>
      <c r="K9" s="263">
        <f>E9/J9</f>
        <v>9.3741496598639458</v>
      </c>
      <c r="L9" s="263">
        <f>8*K9</f>
        <v>74.993197278911566</v>
      </c>
      <c r="M9" s="263" t="s">
        <v>475</v>
      </c>
      <c r="N9" s="437">
        <v>1</v>
      </c>
      <c r="O9" s="434">
        <v>22.05</v>
      </c>
      <c r="P9" s="438">
        <f>O9*N9*K9</f>
        <v>206.70000000000002</v>
      </c>
      <c r="Q9" s="439"/>
      <c r="R9" s="434"/>
      <c r="S9" s="435"/>
      <c r="T9" s="478">
        <f>S9+P9+H9</f>
        <v>1750.0600000000002</v>
      </c>
      <c r="U9" s="436">
        <f>T9/E9</f>
        <v>0.63500000000000001</v>
      </c>
      <c r="V9" s="441" t="str">
        <f>F9</f>
        <v>lf</v>
      </c>
    </row>
    <row r="10" spans="1:24" x14ac:dyDescent="0.2">
      <c r="A10" s="431"/>
      <c r="B10" s="281"/>
      <c r="C10" s="262"/>
      <c r="D10" s="263"/>
      <c r="E10" s="263"/>
      <c r="F10" s="263"/>
      <c r="G10" s="434"/>
      <c r="H10" s="435"/>
      <c r="I10" s="436"/>
      <c r="J10" s="263"/>
      <c r="K10" s="263"/>
      <c r="L10" s="263"/>
      <c r="M10" s="442"/>
      <c r="N10" s="443"/>
      <c r="O10" s="434"/>
      <c r="P10" s="438"/>
      <c r="Q10" s="439"/>
      <c r="R10" s="434"/>
      <c r="S10" s="435"/>
      <c r="T10" s="478"/>
      <c r="U10" s="436"/>
      <c r="V10" s="441"/>
    </row>
    <row r="11" spans="1:24" x14ac:dyDescent="0.2">
      <c r="A11" s="444"/>
      <c r="B11" s="281"/>
      <c r="C11" s="262"/>
      <c r="D11" s="263"/>
      <c r="E11" s="263"/>
      <c r="F11" s="263"/>
      <c r="G11" s="434"/>
      <c r="H11" s="435"/>
      <c r="I11" s="436"/>
      <c r="J11" s="263"/>
      <c r="K11" s="263"/>
      <c r="L11" s="263"/>
      <c r="M11" s="263"/>
      <c r="N11" s="437"/>
      <c r="O11" s="434"/>
      <c r="P11" s="438"/>
      <c r="Q11" s="439"/>
      <c r="R11" s="434"/>
      <c r="S11" s="435"/>
      <c r="T11" s="478"/>
      <c r="U11" s="436"/>
      <c r="V11" s="441"/>
    </row>
    <row r="12" spans="1:24" x14ac:dyDescent="0.2">
      <c r="A12" s="431"/>
      <c r="B12" s="281"/>
      <c r="C12" s="26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x14ac:dyDescent="0.2">
      <c r="A13" s="431"/>
      <c r="B13" s="281"/>
      <c r="C13" s="262"/>
      <c r="D13" s="263"/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/>
      <c r="U13" s="436"/>
      <c r="V13" s="441"/>
    </row>
    <row r="14" spans="1:24" x14ac:dyDescent="0.2">
      <c r="A14" s="444"/>
      <c r="B14" s="281"/>
      <c r="C14" s="26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x14ac:dyDescent="0.2">
      <c r="A15" s="431"/>
      <c r="B15" s="281"/>
      <c r="C15" s="262"/>
      <c r="D15" s="263"/>
      <c r="E15" s="263"/>
      <c r="F15" s="263"/>
      <c r="G15" s="434"/>
      <c r="H15" s="435"/>
      <c r="I15" s="436"/>
      <c r="J15" s="263"/>
      <c r="K15" s="263"/>
      <c r="L15" s="263"/>
      <c r="M15" s="263"/>
      <c r="N15" s="437"/>
      <c r="O15" s="434"/>
      <c r="P15" s="438"/>
      <c r="Q15" s="439"/>
      <c r="R15" s="434"/>
      <c r="S15" s="435"/>
      <c r="T15" s="478"/>
      <c r="U15" s="436"/>
      <c r="V15" s="441"/>
    </row>
    <row r="16" spans="1:24" x14ac:dyDescent="0.2">
      <c r="A16" s="431"/>
      <c r="B16" s="281"/>
      <c r="C16" s="262"/>
      <c r="D16" s="263"/>
      <c r="E16" s="263"/>
      <c r="F16" s="263"/>
      <c r="G16" s="434"/>
      <c r="H16" s="435"/>
      <c r="I16" s="436"/>
      <c r="J16" s="263"/>
      <c r="K16" s="263"/>
      <c r="L16" s="263"/>
      <c r="M16" s="263"/>
      <c r="N16" s="437"/>
      <c r="O16" s="434"/>
      <c r="P16" s="438"/>
      <c r="Q16" s="439"/>
      <c r="R16" s="434"/>
      <c r="S16" s="435"/>
      <c r="T16" s="478"/>
      <c r="U16" s="436"/>
      <c r="V16" s="441"/>
    </row>
    <row r="17" spans="1:22" x14ac:dyDescent="0.2">
      <c r="A17" s="444"/>
      <c r="B17" s="281"/>
      <c r="C17" s="26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262"/>
      <c r="D18" s="263"/>
      <c r="E18" s="263"/>
      <c r="F18" s="263"/>
      <c r="G18" s="434"/>
      <c r="H18" s="435"/>
      <c r="I18" s="436"/>
      <c r="J18" s="263"/>
      <c r="K18" s="263"/>
      <c r="L18" s="263"/>
      <c r="M18" s="263"/>
      <c r="N18" s="437"/>
      <c r="O18" s="434"/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26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26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/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26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26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x14ac:dyDescent="0.2">
      <c r="A23" s="431"/>
      <c r="B23" s="281"/>
      <c r="C23" s="26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26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26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26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26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26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26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26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x14ac:dyDescent="0.2">
      <c r="A31" s="431"/>
      <c r="B31" s="281"/>
      <c r="C31" s="26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26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26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26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26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26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26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26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26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26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52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8"/>
      <c r="D42" s="460"/>
      <c r="E42" s="460"/>
      <c r="F42" s="460"/>
      <c r="G42" s="460"/>
      <c r="H42" s="461">
        <f>SUM(H8:H41)</f>
        <v>1543.3600000000001</v>
      </c>
      <c r="I42" s="462"/>
      <c r="J42" s="463"/>
      <c r="K42" s="461">
        <f>SUM(K8:K41)</f>
        <v>9.3741496598639458</v>
      </c>
      <c r="L42" s="461">
        <f>SUM(L8:L41)</f>
        <v>74.993197278911566</v>
      </c>
      <c r="M42" s="462"/>
      <c r="N42" s="464"/>
      <c r="O42" s="463"/>
      <c r="P42" s="461">
        <f>SUM(P8:P41)</f>
        <v>206.70000000000002</v>
      </c>
      <c r="Q42" s="462"/>
      <c r="R42" s="463"/>
      <c r="S42" s="465">
        <f>SUM(S8:S41)</f>
        <v>0</v>
      </c>
      <c r="T42" s="461">
        <f>SUM(T8:T41)</f>
        <v>1750.0600000000002</v>
      </c>
      <c r="U42" s="467" t="s">
        <v>397</v>
      </c>
      <c r="V42" s="468"/>
    </row>
    <row r="43" spans="1:22" x14ac:dyDescent="0.2">
      <c r="C43" s="292" t="s">
        <v>639</v>
      </c>
      <c r="N43" s="470"/>
      <c r="S43" s="471">
        <v>0.3</v>
      </c>
      <c r="T43" s="503">
        <f>T42*1.3</f>
        <v>2275.0780000000004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N3"/>
    <mergeCell ref="H4:N4"/>
  </mergeCells>
  <hyperlinks>
    <hyperlink ref="D9" location="Insulation!A1" display="Insulation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1"/>
  <sheetViews>
    <sheetView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A11" sqref="A11:C11"/>
    </sheetView>
  </sheetViews>
  <sheetFormatPr defaultRowHeight="12.75" x14ac:dyDescent="0.2"/>
  <cols>
    <col min="1" max="16384" width="9.140625" style="292"/>
  </cols>
  <sheetData>
    <row r="1" spans="1:18" x14ac:dyDescent="0.2">
      <c r="A1" s="290"/>
      <c r="C1" s="29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711</v>
      </c>
      <c r="M1" s="620"/>
      <c r="N1" s="287"/>
      <c r="O1" s="302"/>
    </row>
    <row r="2" spans="1:18" ht="15" x14ac:dyDescent="0.25">
      <c r="A2" s="290"/>
      <c r="C2" s="29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8" x14ac:dyDescent="0.2">
      <c r="A3" s="384"/>
      <c r="B3" s="361"/>
      <c r="C3" s="291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</row>
    <row r="4" spans="1:18" x14ac:dyDescent="0.2">
      <c r="A4" s="710" t="s">
        <v>18</v>
      </c>
      <c r="B4" s="710"/>
      <c r="C4" s="710"/>
      <c r="D4" s="711" t="s">
        <v>251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</row>
    <row r="5" spans="1:18" x14ac:dyDescent="0.2">
      <c r="A5" s="311"/>
      <c r="B5" s="314"/>
      <c r="C5" s="492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313"/>
      <c r="Q5" s="314"/>
      <c r="R5" s="315"/>
    </row>
    <row r="6" spans="1:18" ht="13.5" thickBot="1" x14ac:dyDescent="0.25">
      <c r="A6" s="493" t="s">
        <v>5</v>
      </c>
      <c r="B6" s="494"/>
      <c r="C6" s="495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704" t="s">
        <v>40</v>
      </c>
      <c r="Q6" s="705"/>
      <c r="R6" s="706"/>
    </row>
    <row r="7" spans="1:18" ht="15" x14ac:dyDescent="0.25">
      <c r="A7" s="759" t="s">
        <v>249</v>
      </c>
      <c r="B7" s="760"/>
      <c r="C7" s="761"/>
      <c r="D7" s="568" t="s">
        <v>254</v>
      </c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707"/>
      <c r="Q7" s="708"/>
      <c r="R7" s="709"/>
    </row>
    <row r="8" spans="1:18" ht="15" x14ac:dyDescent="0.25">
      <c r="A8" s="668" t="s">
        <v>252</v>
      </c>
      <c r="B8" s="669"/>
      <c r="C8" s="670"/>
      <c r="D8" s="22"/>
      <c r="E8" s="330"/>
      <c r="F8" s="331"/>
      <c r="G8" s="332"/>
      <c r="H8" s="333"/>
      <c r="I8" s="330">
        <v>16</v>
      </c>
      <c r="J8" s="24" t="s">
        <v>131</v>
      </c>
      <c r="K8" s="334"/>
      <c r="L8" s="333"/>
      <c r="M8" s="339">
        <f>I8</f>
        <v>16</v>
      </c>
      <c r="N8" s="336" t="s">
        <v>131</v>
      </c>
      <c r="O8" s="570" t="s">
        <v>752</v>
      </c>
      <c r="P8" s="671" t="s">
        <v>253</v>
      </c>
      <c r="Q8" s="672"/>
      <c r="R8" s="673"/>
    </row>
    <row r="9" spans="1:18" x14ac:dyDescent="0.2">
      <c r="A9" s="668" t="s">
        <v>255</v>
      </c>
      <c r="B9" s="669"/>
      <c r="C9" s="670"/>
      <c r="D9" s="22"/>
      <c r="E9" s="330"/>
      <c r="F9" s="331"/>
      <c r="G9" s="332"/>
      <c r="H9" s="333"/>
      <c r="I9" s="330">
        <v>4</v>
      </c>
      <c r="J9" s="24" t="s">
        <v>131</v>
      </c>
      <c r="K9" s="334"/>
      <c r="L9" s="333"/>
      <c r="M9" s="339">
        <f>I9</f>
        <v>4</v>
      </c>
      <c r="N9" s="336" t="s">
        <v>131</v>
      </c>
      <c r="O9" s="337"/>
      <c r="P9" s="671"/>
      <c r="Q9" s="672"/>
      <c r="R9" s="673"/>
    </row>
    <row r="10" spans="1:18" x14ac:dyDescent="0.2">
      <c r="A10" s="668" t="s">
        <v>256</v>
      </c>
      <c r="B10" s="669"/>
      <c r="C10" s="670"/>
      <c r="D10" s="22"/>
      <c r="E10" s="330"/>
      <c r="F10" s="331"/>
      <c r="G10" s="332"/>
      <c r="H10" s="333"/>
      <c r="I10" s="330">
        <v>12</v>
      </c>
      <c r="J10" s="24" t="s">
        <v>131</v>
      </c>
      <c r="K10" s="334"/>
      <c r="L10" s="333"/>
      <c r="M10" s="339">
        <f>I10</f>
        <v>12</v>
      </c>
      <c r="N10" s="336" t="s">
        <v>131</v>
      </c>
      <c r="O10" s="337"/>
      <c r="P10" s="671"/>
      <c r="Q10" s="672"/>
      <c r="R10" s="673"/>
    </row>
    <row r="11" spans="1:18" x14ac:dyDescent="0.2">
      <c r="A11" s="671" t="s">
        <v>257</v>
      </c>
      <c r="B11" s="672"/>
      <c r="C11" s="673"/>
      <c r="D11" s="338"/>
      <c r="E11" s="330"/>
      <c r="F11" s="331"/>
      <c r="G11" s="332"/>
      <c r="H11" s="333"/>
      <c r="I11" s="330">
        <v>2</v>
      </c>
      <c r="J11" s="24" t="s">
        <v>131</v>
      </c>
      <c r="K11" s="334"/>
      <c r="L11" s="333"/>
      <c r="M11" s="339">
        <f>I11</f>
        <v>2</v>
      </c>
      <c r="N11" s="336" t="s">
        <v>131</v>
      </c>
      <c r="O11" s="337"/>
      <c r="P11" s="671"/>
      <c r="Q11" s="672"/>
      <c r="R11" s="673"/>
    </row>
    <row r="12" spans="1:18" x14ac:dyDescent="0.2">
      <c r="A12" s="671" t="s">
        <v>258</v>
      </c>
      <c r="B12" s="672"/>
      <c r="C12" s="673"/>
      <c r="D12" s="338"/>
      <c r="E12" s="330"/>
      <c r="F12" s="331"/>
      <c r="G12" s="332"/>
      <c r="H12" s="333"/>
      <c r="I12" s="330">
        <f>SUM(I9:I11)</f>
        <v>18</v>
      </c>
      <c r="J12" s="333" t="s">
        <v>259</v>
      </c>
      <c r="K12" s="334"/>
      <c r="L12" s="333"/>
      <c r="M12" s="339">
        <f>I12</f>
        <v>18</v>
      </c>
      <c r="N12" s="336" t="s">
        <v>259</v>
      </c>
      <c r="O12" s="337"/>
      <c r="P12" s="671"/>
      <c r="Q12" s="672"/>
      <c r="R12" s="673"/>
    </row>
    <row r="13" spans="1:18" x14ac:dyDescent="0.2">
      <c r="A13" s="737"/>
      <c r="B13" s="738"/>
      <c r="C13" s="739"/>
      <c r="D13" s="338"/>
      <c r="E13" s="330"/>
      <c r="F13" s="331"/>
      <c r="G13" s="332"/>
      <c r="H13" s="333"/>
      <c r="I13" s="330"/>
      <c r="J13" s="340"/>
      <c r="K13" s="334"/>
      <c r="L13" s="24"/>
      <c r="M13" s="330"/>
      <c r="N13" s="333"/>
      <c r="O13" s="337"/>
      <c r="P13" s="671"/>
      <c r="Q13" s="672"/>
      <c r="R13" s="673"/>
    </row>
    <row r="14" spans="1:18" ht="15" x14ac:dyDescent="0.25">
      <c r="A14" s="737" t="s">
        <v>250</v>
      </c>
      <c r="B14" s="738"/>
      <c r="C14" s="739"/>
      <c r="D14" s="564" t="s">
        <v>92</v>
      </c>
      <c r="E14" s="330"/>
      <c r="F14" s="331"/>
      <c r="G14" s="332"/>
      <c r="H14" s="333"/>
      <c r="I14" s="330"/>
      <c r="J14" s="333"/>
      <c r="K14" s="60"/>
      <c r="L14" s="333"/>
      <c r="M14" s="341"/>
      <c r="N14" s="33"/>
      <c r="O14" s="283"/>
      <c r="P14" s="671"/>
      <c r="Q14" s="672"/>
      <c r="R14" s="673"/>
    </row>
    <row r="15" spans="1:18" ht="15" x14ac:dyDescent="0.25">
      <c r="A15" s="671" t="s">
        <v>156</v>
      </c>
      <c r="B15" s="672"/>
      <c r="C15" s="673"/>
      <c r="D15" s="338"/>
      <c r="E15" s="330"/>
      <c r="F15" s="331"/>
      <c r="G15" s="332"/>
      <c r="H15" s="333"/>
      <c r="I15" s="330">
        <v>26</v>
      </c>
      <c r="J15" s="333" t="s">
        <v>131</v>
      </c>
      <c r="K15" s="334"/>
      <c r="L15" s="333"/>
      <c r="M15" s="339">
        <v>26</v>
      </c>
      <c r="N15" s="336" t="s">
        <v>131</v>
      </c>
      <c r="O15" s="570" t="s">
        <v>752</v>
      </c>
      <c r="P15" s="671" t="s">
        <v>265</v>
      </c>
      <c r="Q15" s="672"/>
      <c r="R15" s="673"/>
    </row>
    <row r="16" spans="1:18" x14ac:dyDescent="0.2">
      <c r="A16" s="740" t="s">
        <v>260</v>
      </c>
      <c r="B16" s="654"/>
      <c r="C16" s="741"/>
      <c r="D16" s="338"/>
      <c r="E16" s="330"/>
      <c r="F16" s="331"/>
      <c r="G16" s="332"/>
      <c r="H16" s="333"/>
      <c r="I16" s="330">
        <v>4</v>
      </c>
      <c r="J16" s="333" t="s">
        <v>131</v>
      </c>
      <c r="K16" s="334"/>
      <c r="L16" s="333"/>
      <c r="M16" s="339">
        <v>4</v>
      </c>
      <c r="N16" s="336" t="s">
        <v>131</v>
      </c>
      <c r="O16" s="337"/>
      <c r="P16" s="671" t="s">
        <v>266</v>
      </c>
      <c r="Q16" s="672"/>
      <c r="R16" s="673"/>
    </row>
    <row r="17" spans="1:18" x14ac:dyDescent="0.2">
      <c r="A17" s="740" t="s">
        <v>261</v>
      </c>
      <c r="B17" s="654"/>
      <c r="C17" s="741"/>
      <c r="D17" s="338"/>
      <c r="E17" s="330"/>
      <c r="F17" s="331"/>
      <c r="G17" s="332"/>
      <c r="H17" s="333"/>
      <c r="I17" s="330">
        <v>2</v>
      </c>
      <c r="J17" s="333" t="s">
        <v>131</v>
      </c>
      <c r="K17" s="334"/>
      <c r="L17" s="333"/>
      <c r="M17" s="339">
        <v>2</v>
      </c>
      <c r="N17" s="336" t="s">
        <v>131</v>
      </c>
      <c r="O17" s="337"/>
      <c r="P17" s="671" t="s">
        <v>267</v>
      </c>
      <c r="Q17" s="672"/>
      <c r="R17" s="673"/>
    </row>
    <row r="18" spans="1:18" x14ac:dyDescent="0.2">
      <c r="A18" s="671" t="s">
        <v>262</v>
      </c>
      <c r="B18" s="672"/>
      <c r="C18" s="673"/>
      <c r="D18" s="22"/>
      <c r="E18" s="330"/>
      <c r="F18" s="331"/>
      <c r="G18" s="332"/>
      <c r="H18" s="333"/>
      <c r="I18" s="330">
        <v>7</v>
      </c>
      <c r="J18" s="333" t="s">
        <v>131</v>
      </c>
      <c r="K18" s="346"/>
      <c r="L18" s="24"/>
      <c r="M18" s="339">
        <v>7</v>
      </c>
      <c r="N18" s="336" t="s">
        <v>131</v>
      </c>
      <c r="O18" s="337"/>
      <c r="P18" s="671" t="s">
        <v>268</v>
      </c>
      <c r="Q18" s="672"/>
      <c r="R18" s="673"/>
    </row>
    <row r="19" spans="1:18" x14ac:dyDescent="0.2">
      <c r="A19" s="671" t="s">
        <v>263</v>
      </c>
      <c r="B19" s="672"/>
      <c r="C19" s="673"/>
      <c r="D19" s="22"/>
      <c r="E19" s="330"/>
      <c r="F19" s="331"/>
      <c r="G19" s="332"/>
      <c r="H19" s="333"/>
      <c r="I19" s="330">
        <v>2</v>
      </c>
      <c r="J19" s="333" t="s">
        <v>131</v>
      </c>
      <c r="K19" s="334"/>
      <c r="L19" s="333"/>
      <c r="M19" s="339">
        <v>2</v>
      </c>
      <c r="N19" s="336" t="s">
        <v>131</v>
      </c>
      <c r="O19" s="337"/>
      <c r="P19" s="671" t="s">
        <v>269</v>
      </c>
      <c r="Q19" s="672"/>
      <c r="R19" s="673"/>
    </row>
    <row r="20" spans="1:18" x14ac:dyDescent="0.2">
      <c r="A20" s="671" t="s">
        <v>264</v>
      </c>
      <c r="B20" s="672"/>
      <c r="C20" s="673"/>
      <c r="D20" s="338"/>
      <c r="E20" s="330"/>
      <c r="F20" s="331"/>
      <c r="G20" s="332"/>
      <c r="H20" s="333"/>
      <c r="I20" s="485">
        <v>2</v>
      </c>
      <c r="J20" s="333" t="s">
        <v>131</v>
      </c>
      <c r="K20" s="334"/>
      <c r="L20" s="333"/>
      <c r="M20" s="504">
        <v>2</v>
      </c>
      <c r="N20" s="336" t="s">
        <v>131</v>
      </c>
      <c r="O20" s="337"/>
      <c r="P20" s="671" t="s">
        <v>270</v>
      </c>
      <c r="Q20" s="672"/>
      <c r="R20" s="673"/>
    </row>
    <row r="21" spans="1:18" x14ac:dyDescent="0.2">
      <c r="A21" s="740"/>
      <c r="B21" s="654"/>
      <c r="C21" s="741"/>
      <c r="D21" s="338"/>
      <c r="E21" s="330"/>
      <c r="F21" s="331"/>
      <c r="G21" s="332"/>
      <c r="H21" s="333"/>
      <c r="I21" s="330"/>
      <c r="J21" s="333"/>
      <c r="K21" s="334"/>
      <c r="L21" s="333"/>
      <c r="M21" s="343"/>
      <c r="N21" s="344"/>
      <c r="O21" s="337"/>
      <c r="P21" s="671"/>
      <c r="Q21" s="672"/>
      <c r="R21" s="673"/>
    </row>
    <row r="22" spans="1:18" x14ac:dyDescent="0.2">
      <c r="A22" s="671"/>
      <c r="B22" s="672"/>
      <c r="C22" s="673"/>
      <c r="D22" s="338"/>
      <c r="E22" s="330"/>
      <c r="F22" s="331"/>
      <c r="G22" s="332"/>
      <c r="H22" s="333"/>
      <c r="I22" s="330"/>
      <c r="J22" s="333"/>
      <c r="K22" s="334"/>
      <c r="L22" s="333"/>
      <c r="M22" s="343"/>
      <c r="N22" s="344"/>
      <c r="O22" s="337"/>
      <c r="P22" s="671"/>
      <c r="Q22" s="672"/>
      <c r="R22" s="673"/>
    </row>
    <row r="23" spans="1:18" x14ac:dyDescent="0.2">
      <c r="A23" s="671"/>
      <c r="B23" s="672"/>
      <c r="C23" s="673"/>
      <c r="D23" s="338"/>
      <c r="E23" s="330"/>
      <c r="F23" s="331"/>
      <c r="G23" s="332"/>
      <c r="H23" s="333"/>
      <c r="I23" s="330"/>
      <c r="J23" s="333"/>
      <c r="K23" s="334"/>
      <c r="L23" s="333"/>
      <c r="M23" s="343"/>
      <c r="N23" s="344"/>
      <c r="O23" s="337"/>
      <c r="P23" s="671"/>
      <c r="Q23" s="672"/>
      <c r="R23" s="673"/>
    </row>
    <row r="24" spans="1:18" x14ac:dyDescent="0.2">
      <c r="A24" s="776"/>
      <c r="B24" s="777"/>
      <c r="C24" s="778"/>
      <c r="D24" s="338"/>
      <c r="E24" s="330"/>
      <c r="F24" s="331"/>
      <c r="G24" s="332"/>
      <c r="H24" s="333"/>
      <c r="I24" s="330"/>
      <c r="J24" s="333"/>
      <c r="K24" s="334"/>
      <c r="L24" s="333"/>
      <c r="M24" s="343"/>
      <c r="N24" s="344"/>
      <c r="O24" s="337"/>
      <c r="P24" s="671"/>
      <c r="Q24" s="672"/>
      <c r="R24" s="673"/>
    </row>
    <row r="25" spans="1:18" x14ac:dyDescent="0.2">
      <c r="A25" s="751"/>
      <c r="B25" s="672"/>
      <c r="C25" s="673"/>
      <c r="D25" s="348"/>
      <c r="E25" s="330"/>
      <c r="F25" s="331"/>
      <c r="G25" s="332"/>
      <c r="H25" s="333"/>
      <c r="I25" s="347"/>
      <c r="J25" s="333"/>
      <c r="K25" s="334"/>
      <c r="L25" s="333"/>
      <c r="M25" s="343"/>
      <c r="N25" s="344"/>
      <c r="O25" s="337"/>
      <c r="P25" s="671"/>
      <c r="Q25" s="672"/>
      <c r="R25" s="673"/>
    </row>
    <row r="26" spans="1:18" x14ac:dyDescent="0.2">
      <c r="A26" s="751"/>
      <c r="B26" s="672"/>
      <c r="C26" s="673"/>
      <c r="D26" s="348"/>
      <c r="E26" s="330"/>
      <c r="F26" s="331"/>
      <c r="G26" s="332"/>
      <c r="H26" s="333"/>
      <c r="I26" s="330"/>
      <c r="J26" s="333"/>
      <c r="K26" s="334"/>
      <c r="L26" s="333"/>
      <c r="M26" s="343"/>
      <c r="N26" s="344"/>
      <c r="O26" s="337"/>
      <c r="P26" s="671"/>
      <c r="Q26" s="672"/>
      <c r="R26" s="673"/>
    </row>
    <row r="27" spans="1:18" x14ac:dyDescent="0.2">
      <c r="A27" s="751"/>
      <c r="B27" s="672"/>
      <c r="C27" s="673"/>
      <c r="D27" s="348"/>
      <c r="E27" s="330"/>
      <c r="F27" s="331"/>
      <c r="G27" s="332"/>
      <c r="H27" s="333"/>
      <c r="I27" s="330"/>
      <c r="J27" s="333"/>
      <c r="K27" s="334"/>
      <c r="L27" s="333"/>
      <c r="M27" s="343"/>
      <c r="N27" s="344"/>
      <c r="O27" s="337"/>
      <c r="P27" s="671"/>
      <c r="Q27" s="672"/>
      <c r="R27" s="673"/>
    </row>
    <row r="28" spans="1:18" x14ac:dyDescent="0.2">
      <c r="A28" s="751"/>
      <c r="B28" s="672"/>
      <c r="C28" s="673"/>
      <c r="D28" s="348"/>
      <c r="E28" s="330"/>
      <c r="F28" s="331"/>
      <c r="G28" s="332"/>
      <c r="H28" s="333"/>
      <c r="I28" s="330"/>
      <c r="J28" s="333"/>
      <c r="K28" s="334"/>
      <c r="L28" s="333"/>
      <c r="M28" s="343"/>
      <c r="N28" s="344"/>
      <c r="O28" s="337"/>
      <c r="P28" s="671"/>
      <c r="Q28" s="672"/>
      <c r="R28" s="673"/>
    </row>
    <row r="29" spans="1:18" x14ac:dyDescent="0.2">
      <c r="A29" s="751"/>
      <c r="B29" s="672"/>
      <c r="C29" s="673"/>
      <c r="D29" s="348"/>
      <c r="E29" s="330"/>
      <c r="F29" s="331"/>
      <c r="G29" s="332"/>
      <c r="H29" s="333"/>
      <c r="I29" s="330"/>
      <c r="J29" s="333"/>
      <c r="K29" s="334"/>
      <c r="L29" s="333"/>
      <c r="M29" s="343"/>
      <c r="N29" s="344"/>
      <c r="O29" s="337"/>
      <c r="P29" s="671"/>
      <c r="Q29" s="672"/>
      <c r="R29" s="673"/>
    </row>
    <row r="30" spans="1:18" x14ac:dyDescent="0.2">
      <c r="A30" s="751"/>
      <c r="B30" s="672"/>
      <c r="C30" s="673"/>
      <c r="D30" s="348"/>
      <c r="E30" s="330"/>
      <c r="F30" s="331"/>
      <c r="G30" s="332"/>
      <c r="H30" s="333"/>
      <c r="I30" s="330"/>
      <c r="J30" s="333"/>
      <c r="K30" s="334"/>
      <c r="L30" s="333"/>
      <c r="M30" s="343"/>
      <c r="N30" s="344"/>
      <c r="O30" s="337"/>
      <c r="P30" s="671"/>
      <c r="Q30" s="672"/>
      <c r="R30" s="673"/>
    </row>
    <row r="31" spans="1:18" x14ac:dyDescent="0.2">
      <c r="A31" s="751"/>
      <c r="B31" s="672"/>
      <c r="C31" s="673"/>
      <c r="D31" s="348"/>
      <c r="E31" s="330"/>
      <c r="F31" s="331"/>
      <c r="G31" s="332"/>
      <c r="H31" s="333"/>
      <c r="I31" s="330"/>
      <c r="J31" s="333"/>
      <c r="K31" s="334"/>
      <c r="L31" s="333"/>
      <c r="M31" s="343"/>
      <c r="N31" s="344"/>
      <c r="O31" s="337"/>
      <c r="P31" s="671"/>
      <c r="Q31" s="672"/>
      <c r="R31" s="673"/>
    </row>
    <row r="32" spans="1:18" x14ac:dyDescent="0.2">
      <c r="A32" s="779"/>
      <c r="B32" s="657"/>
      <c r="C32" s="780"/>
      <c r="D32" s="338"/>
      <c r="E32" s="330"/>
      <c r="F32" s="331"/>
      <c r="G32" s="332"/>
      <c r="H32" s="333"/>
      <c r="I32" s="330"/>
      <c r="J32" s="333"/>
      <c r="K32" s="334"/>
      <c r="L32" s="333"/>
      <c r="M32" s="343"/>
      <c r="N32" s="344"/>
      <c r="O32" s="337"/>
      <c r="P32" s="671"/>
      <c r="Q32" s="672"/>
      <c r="R32" s="673"/>
    </row>
    <row r="33" spans="1:18" x14ac:dyDescent="0.2">
      <c r="A33" s="671"/>
      <c r="B33" s="672"/>
      <c r="C33" s="673"/>
      <c r="D33" s="22"/>
      <c r="E33" s="330"/>
      <c r="F33" s="331"/>
      <c r="G33" s="332"/>
      <c r="H33" s="333"/>
      <c r="I33" s="330"/>
      <c r="J33" s="333"/>
      <c r="K33" s="334"/>
      <c r="L33" s="333"/>
      <c r="M33" s="343"/>
      <c r="N33" s="344"/>
      <c r="O33" s="337"/>
      <c r="P33" s="671"/>
      <c r="Q33" s="672"/>
      <c r="R33" s="673"/>
    </row>
    <row r="34" spans="1:18" x14ac:dyDescent="0.2">
      <c r="A34" s="671"/>
      <c r="B34" s="672"/>
      <c r="C34" s="673"/>
      <c r="D34" s="338"/>
      <c r="E34" s="330"/>
      <c r="F34" s="331"/>
      <c r="G34" s="332"/>
      <c r="H34" s="333"/>
      <c r="I34" s="330"/>
      <c r="J34" s="333"/>
      <c r="K34" s="334"/>
      <c r="L34" s="24"/>
      <c r="M34" s="343"/>
      <c r="N34" s="344"/>
      <c r="O34" s="337"/>
      <c r="P34" s="671"/>
      <c r="Q34" s="672"/>
      <c r="R34" s="673"/>
    </row>
    <row r="35" spans="1:18" x14ac:dyDescent="0.2">
      <c r="A35" s="671"/>
      <c r="B35" s="672"/>
      <c r="C35" s="673"/>
      <c r="D35" s="338"/>
      <c r="E35" s="330"/>
      <c r="F35" s="331"/>
      <c r="G35" s="332"/>
      <c r="H35" s="333"/>
      <c r="I35" s="330"/>
      <c r="J35" s="333"/>
      <c r="K35" s="60"/>
      <c r="L35" s="333"/>
      <c r="M35" s="341"/>
      <c r="N35" s="33"/>
      <c r="O35" s="337"/>
      <c r="P35" s="671"/>
      <c r="Q35" s="672"/>
      <c r="R35" s="673"/>
    </row>
    <row r="36" spans="1:18" x14ac:dyDescent="0.2">
      <c r="A36" s="671"/>
      <c r="B36" s="672"/>
      <c r="C36" s="673"/>
      <c r="D36" s="338"/>
      <c r="E36" s="330"/>
      <c r="F36" s="331"/>
      <c r="G36" s="332"/>
      <c r="H36" s="333"/>
      <c r="I36" s="330"/>
      <c r="J36" s="333"/>
      <c r="K36" s="334"/>
      <c r="L36" s="333"/>
      <c r="M36" s="343"/>
      <c r="N36" s="344"/>
      <c r="O36" s="337"/>
      <c r="P36" s="671"/>
      <c r="Q36" s="672"/>
      <c r="R36" s="673"/>
    </row>
    <row r="37" spans="1:18" x14ac:dyDescent="0.2">
      <c r="A37" s="755"/>
      <c r="B37" s="756"/>
      <c r="C37" s="757"/>
      <c r="D37" s="338"/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671"/>
      <c r="Q37" s="672"/>
      <c r="R37" s="673"/>
    </row>
    <row r="38" spans="1:18" x14ac:dyDescent="0.2">
      <c r="A38" s="740"/>
      <c r="B38" s="654"/>
      <c r="C38" s="741"/>
      <c r="D38" s="338"/>
      <c r="E38" s="330"/>
      <c r="F38" s="331"/>
      <c r="G38" s="332"/>
      <c r="H38" s="333"/>
      <c r="I38" s="330"/>
      <c r="J38" s="333"/>
      <c r="K38" s="334"/>
      <c r="L38" s="333"/>
      <c r="M38" s="343"/>
      <c r="N38" s="344"/>
      <c r="O38" s="337"/>
      <c r="P38" s="671"/>
      <c r="Q38" s="672"/>
      <c r="R38" s="673"/>
    </row>
    <row r="39" spans="1:18" x14ac:dyDescent="0.2">
      <c r="A39" s="671"/>
      <c r="B39" s="672"/>
      <c r="C39" s="673"/>
      <c r="D39" s="338"/>
      <c r="E39" s="330"/>
      <c r="F39" s="331"/>
      <c r="G39" s="332"/>
      <c r="H39" s="333"/>
      <c r="I39" s="347"/>
      <c r="J39" s="333"/>
      <c r="K39" s="334"/>
      <c r="L39" s="333"/>
      <c r="M39" s="343"/>
      <c r="N39" s="344"/>
      <c r="O39" s="337"/>
      <c r="P39" s="671"/>
      <c r="Q39" s="672"/>
      <c r="R39" s="673"/>
    </row>
    <row r="40" spans="1:18" x14ac:dyDescent="0.2">
      <c r="A40" s="671"/>
      <c r="B40" s="672"/>
      <c r="C40" s="673"/>
      <c r="D40" s="338"/>
      <c r="E40" s="330"/>
      <c r="F40" s="331"/>
      <c r="G40" s="332"/>
      <c r="H40" s="333"/>
      <c r="I40" s="330"/>
      <c r="J40" s="333"/>
      <c r="K40" s="334"/>
      <c r="L40" s="333"/>
      <c r="M40" s="343"/>
      <c r="N40" s="344"/>
      <c r="O40" s="337"/>
      <c r="P40" s="671"/>
      <c r="Q40" s="672"/>
      <c r="R40" s="673"/>
    </row>
    <row r="41" spans="1:18" x14ac:dyDescent="0.2">
      <c r="A41" s="740"/>
      <c r="B41" s="654"/>
      <c r="C41" s="741"/>
      <c r="D41" s="338"/>
      <c r="E41" s="330"/>
      <c r="F41" s="331"/>
      <c r="G41" s="332"/>
      <c r="H41" s="333"/>
      <c r="I41" s="330"/>
      <c r="J41" s="333"/>
      <c r="K41" s="334"/>
      <c r="L41" s="333"/>
      <c r="M41" s="343"/>
      <c r="N41" s="344"/>
      <c r="O41" s="337"/>
      <c r="P41" s="671"/>
      <c r="Q41" s="672"/>
      <c r="R41" s="673"/>
    </row>
    <row r="42" spans="1:18" x14ac:dyDescent="0.2">
      <c r="A42" s="671"/>
      <c r="B42" s="672"/>
      <c r="C42" s="673"/>
      <c r="D42" s="338"/>
      <c r="E42" s="330"/>
      <c r="F42" s="331"/>
      <c r="G42" s="332"/>
      <c r="H42" s="333"/>
      <c r="I42" s="347"/>
      <c r="J42" s="333"/>
      <c r="K42" s="334"/>
      <c r="L42" s="333"/>
      <c r="M42" s="343"/>
      <c r="N42" s="344"/>
      <c r="O42" s="337"/>
      <c r="P42" s="671"/>
      <c r="Q42" s="672"/>
      <c r="R42" s="673"/>
    </row>
    <row r="43" spans="1:18" x14ac:dyDescent="0.2">
      <c r="A43" s="671"/>
      <c r="B43" s="672"/>
      <c r="C43" s="673"/>
      <c r="D43" s="338"/>
      <c r="E43" s="330"/>
      <c r="F43" s="331"/>
      <c r="G43" s="332"/>
      <c r="H43" s="333"/>
      <c r="I43" s="347"/>
      <c r="J43" s="333"/>
      <c r="K43" s="334"/>
      <c r="L43" s="333"/>
      <c r="M43" s="343"/>
      <c r="N43" s="344"/>
      <c r="O43" s="337"/>
      <c r="P43" s="671"/>
      <c r="Q43" s="672"/>
      <c r="R43" s="673"/>
    </row>
    <row r="44" spans="1:18" x14ac:dyDescent="0.2">
      <c r="A44" s="671"/>
      <c r="B44" s="672"/>
      <c r="C44" s="673"/>
      <c r="D44" s="338"/>
      <c r="E44" s="330"/>
      <c r="F44" s="331"/>
      <c r="G44" s="332"/>
      <c r="H44" s="333"/>
      <c r="I44" s="347"/>
      <c r="J44" s="333"/>
      <c r="K44" s="334"/>
      <c r="L44" s="333"/>
      <c r="M44" s="343"/>
      <c r="N44" s="344"/>
      <c r="O44" s="337"/>
      <c r="P44" s="671"/>
      <c r="Q44" s="672"/>
      <c r="R44" s="673"/>
    </row>
    <row r="45" spans="1:18" x14ac:dyDescent="0.2">
      <c r="A45" s="740"/>
      <c r="B45" s="654"/>
      <c r="C45" s="741"/>
      <c r="D45" s="338"/>
      <c r="E45" s="330"/>
      <c r="F45" s="331"/>
      <c r="G45" s="332"/>
      <c r="H45" s="333"/>
      <c r="I45" s="330"/>
      <c r="J45" s="333"/>
      <c r="K45" s="334"/>
      <c r="L45" s="333"/>
      <c r="M45" s="343"/>
      <c r="N45" s="344"/>
      <c r="O45" s="337"/>
      <c r="P45" s="671"/>
      <c r="Q45" s="672"/>
      <c r="R45" s="673"/>
    </row>
    <row r="46" spans="1:18" x14ac:dyDescent="0.2">
      <c r="A46" s="671"/>
      <c r="B46" s="672"/>
      <c r="C46" s="673"/>
      <c r="D46" s="338"/>
      <c r="E46" s="330"/>
      <c r="F46" s="331"/>
      <c r="G46" s="332"/>
      <c r="H46" s="333"/>
      <c r="I46" s="347"/>
      <c r="J46" s="24"/>
      <c r="K46" s="334"/>
      <c r="L46" s="333"/>
      <c r="M46" s="343"/>
      <c r="N46" s="344"/>
      <c r="O46" s="337"/>
      <c r="P46" s="671"/>
      <c r="Q46" s="672"/>
      <c r="R46" s="673"/>
    </row>
    <row r="47" spans="1:18" x14ac:dyDescent="0.2">
      <c r="A47" s="671"/>
      <c r="B47" s="672"/>
      <c r="C47" s="673"/>
      <c r="D47" s="338"/>
      <c r="E47" s="330"/>
      <c r="F47" s="331"/>
      <c r="G47" s="332"/>
      <c r="H47" s="333"/>
      <c r="I47" s="347"/>
      <c r="J47" s="333"/>
      <c r="K47" s="334"/>
      <c r="L47" s="333"/>
      <c r="M47" s="343"/>
      <c r="N47" s="344"/>
      <c r="O47" s="337"/>
      <c r="P47" s="671"/>
      <c r="Q47" s="672"/>
      <c r="R47" s="673"/>
    </row>
    <row r="48" spans="1:18" x14ac:dyDescent="0.2">
      <c r="A48" s="671"/>
      <c r="B48" s="672"/>
      <c r="C48" s="673"/>
      <c r="D48" s="338"/>
      <c r="E48" s="330"/>
      <c r="F48" s="331"/>
      <c r="G48" s="332"/>
      <c r="H48" s="333"/>
      <c r="I48" s="347"/>
      <c r="J48" s="333"/>
      <c r="K48" s="334"/>
      <c r="L48" s="333"/>
      <c r="M48" s="343"/>
      <c r="N48" s="344"/>
      <c r="O48" s="337"/>
      <c r="P48" s="671"/>
      <c r="Q48" s="672"/>
      <c r="R48" s="673"/>
    </row>
    <row r="49" spans="1:18" x14ac:dyDescent="0.2">
      <c r="A49" s="671"/>
      <c r="B49" s="672"/>
      <c r="C49" s="673"/>
      <c r="D49" s="338"/>
      <c r="E49" s="330"/>
      <c r="F49" s="331"/>
      <c r="G49" s="332"/>
      <c r="H49" s="333"/>
      <c r="I49" s="347"/>
      <c r="J49" s="333"/>
      <c r="K49" s="334"/>
      <c r="L49" s="333"/>
      <c r="M49" s="343"/>
      <c r="N49" s="344"/>
      <c r="O49" s="337"/>
      <c r="P49" s="671"/>
      <c r="Q49" s="672"/>
      <c r="R49" s="673"/>
    </row>
    <row r="50" spans="1:18" x14ac:dyDescent="0.2">
      <c r="A50" s="671"/>
      <c r="B50" s="672"/>
      <c r="C50" s="673"/>
      <c r="D50" s="338"/>
      <c r="E50" s="330"/>
      <c r="F50" s="331"/>
      <c r="G50" s="281"/>
      <c r="H50" s="333"/>
      <c r="I50" s="347"/>
      <c r="J50" s="333"/>
      <c r="K50" s="334"/>
      <c r="L50" s="333"/>
      <c r="M50" s="343"/>
      <c r="N50" s="344"/>
      <c r="O50" s="337"/>
      <c r="P50" s="671"/>
      <c r="Q50" s="672"/>
      <c r="R50" s="673"/>
    </row>
    <row r="51" spans="1:18" x14ac:dyDescent="0.2">
      <c r="A51" s="740"/>
      <c r="B51" s="654"/>
      <c r="C51" s="741"/>
      <c r="D51" s="338"/>
      <c r="E51" s="330"/>
      <c r="F51" s="331"/>
      <c r="G51" s="332"/>
      <c r="H51" s="333"/>
      <c r="I51" s="330"/>
      <c r="J51" s="333"/>
      <c r="K51" s="334"/>
      <c r="L51" s="333"/>
      <c r="M51" s="343"/>
      <c r="N51" s="344"/>
      <c r="O51" s="337"/>
      <c r="P51" s="671"/>
      <c r="Q51" s="672"/>
      <c r="R51" s="673"/>
    </row>
    <row r="52" spans="1:18" x14ac:dyDescent="0.2">
      <c r="A52" s="671"/>
      <c r="B52" s="672"/>
      <c r="C52" s="673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671"/>
      <c r="Q52" s="672"/>
      <c r="R52" s="673"/>
    </row>
    <row r="53" spans="1:18" x14ac:dyDescent="0.2">
      <c r="A53" s="671"/>
      <c r="B53" s="672"/>
      <c r="C53" s="673"/>
      <c r="D53" s="338"/>
      <c r="E53" s="330"/>
      <c r="F53" s="331"/>
      <c r="G53" s="332"/>
      <c r="H53" s="333"/>
      <c r="I53" s="330"/>
      <c r="J53" s="333"/>
      <c r="K53" s="349"/>
      <c r="L53" s="24"/>
      <c r="M53" s="343"/>
      <c r="N53" s="344"/>
      <c r="O53" s="337"/>
      <c r="P53" s="671"/>
      <c r="Q53" s="672"/>
      <c r="R53" s="673"/>
    </row>
    <row r="54" spans="1:18" x14ac:dyDescent="0.2">
      <c r="A54" s="671"/>
      <c r="B54" s="672"/>
      <c r="C54" s="673"/>
      <c r="D54" s="338"/>
      <c r="E54" s="330"/>
      <c r="F54" s="331"/>
      <c r="G54" s="332"/>
      <c r="H54" s="333"/>
      <c r="I54" s="330"/>
      <c r="J54" s="333"/>
      <c r="K54" s="60"/>
      <c r="L54" s="333"/>
      <c r="M54" s="341"/>
      <c r="N54" s="33"/>
      <c r="O54" s="337"/>
      <c r="P54" s="671"/>
      <c r="Q54" s="672"/>
      <c r="R54" s="673"/>
    </row>
    <row r="55" spans="1:18" x14ac:dyDescent="0.2">
      <c r="A55" s="671"/>
      <c r="B55" s="672"/>
      <c r="C55" s="673"/>
      <c r="D55" s="338"/>
      <c r="E55" s="330"/>
      <c r="F55" s="331"/>
      <c r="G55" s="332"/>
      <c r="H55" s="333"/>
      <c r="I55" s="330"/>
      <c r="J55" s="333"/>
      <c r="K55" s="334"/>
      <c r="L55" s="333"/>
      <c r="M55" s="343"/>
      <c r="N55" s="344"/>
      <c r="O55" s="337"/>
      <c r="P55" s="671"/>
      <c r="Q55" s="672"/>
      <c r="R55" s="673"/>
    </row>
    <row r="56" spans="1:18" x14ac:dyDescent="0.2">
      <c r="A56" s="755"/>
      <c r="B56" s="756"/>
      <c r="C56" s="757"/>
      <c r="D56" s="338"/>
      <c r="E56" s="330"/>
      <c r="F56" s="331"/>
      <c r="G56" s="332"/>
      <c r="H56" s="333"/>
      <c r="I56" s="330"/>
      <c r="J56" s="333"/>
      <c r="K56" s="334"/>
      <c r="L56" s="333"/>
      <c r="M56" s="343"/>
      <c r="N56" s="344"/>
      <c r="O56" s="337"/>
      <c r="P56" s="671"/>
      <c r="Q56" s="672"/>
      <c r="R56" s="673"/>
    </row>
    <row r="57" spans="1:18" x14ac:dyDescent="0.2">
      <c r="A57" s="671"/>
      <c r="B57" s="672"/>
      <c r="C57" s="673"/>
      <c r="D57" s="22"/>
      <c r="E57" s="330"/>
      <c r="F57" s="331"/>
      <c r="G57" s="332"/>
      <c r="H57" s="333"/>
      <c r="I57" s="330"/>
      <c r="J57" s="24"/>
      <c r="K57" s="334"/>
      <c r="L57" s="333"/>
      <c r="M57" s="343"/>
      <c r="N57" s="344"/>
      <c r="O57" s="337"/>
      <c r="P57" s="671"/>
      <c r="Q57" s="672"/>
      <c r="R57" s="673"/>
    </row>
    <row r="58" spans="1:18" x14ac:dyDescent="0.2">
      <c r="A58" s="671"/>
      <c r="B58" s="672"/>
      <c r="C58" s="673"/>
      <c r="D58" s="338"/>
      <c r="E58" s="330"/>
      <c r="F58" s="331"/>
      <c r="G58" s="332"/>
      <c r="H58" s="333"/>
      <c r="I58" s="347"/>
      <c r="J58" s="333"/>
      <c r="K58" s="334"/>
      <c r="L58" s="333"/>
      <c r="M58" s="343"/>
      <c r="N58" s="344"/>
      <c r="O58" s="337"/>
      <c r="P58" s="671"/>
      <c r="Q58" s="672"/>
      <c r="R58" s="673"/>
    </row>
    <row r="59" spans="1:18" x14ac:dyDescent="0.2">
      <c r="A59" s="671"/>
      <c r="B59" s="672"/>
      <c r="C59" s="673"/>
      <c r="D59" s="338"/>
      <c r="E59" s="330"/>
      <c r="F59" s="331"/>
      <c r="G59" s="332"/>
      <c r="H59" s="333"/>
      <c r="I59" s="330"/>
      <c r="J59" s="333"/>
      <c r="K59" s="349"/>
      <c r="L59" s="24"/>
      <c r="M59" s="343"/>
      <c r="N59" s="344"/>
      <c r="O59" s="337"/>
      <c r="P59" s="671"/>
      <c r="Q59" s="672"/>
      <c r="R59" s="673"/>
    </row>
    <row r="60" spans="1:18" x14ac:dyDescent="0.2">
      <c r="A60" s="758"/>
      <c r="B60" s="758"/>
      <c r="C60" s="751"/>
      <c r="D60" s="350"/>
      <c r="E60" s="334"/>
      <c r="F60" s="331"/>
      <c r="G60" s="331"/>
      <c r="H60" s="340"/>
      <c r="I60" s="334"/>
      <c r="J60" s="340"/>
      <c r="K60" s="60"/>
      <c r="L60" s="340"/>
      <c r="M60" s="351"/>
      <c r="N60" s="65"/>
      <c r="O60" s="352"/>
      <c r="P60" s="671"/>
      <c r="Q60" s="672"/>
      <c r="R60" s="673"/>
    </row>
    <row r="61" spans="1:18" x14ac:dyDescent="0.2">
      <c r="A61" s="752"/>
      <c r="B61" s="753"/>
      <c r="C61" s="754"/>
      <c r="D61" s="63"/>
      <c r="E61" s="323"/>
      <c r="F61" s="324"/>
      <c r="G61" s="325"/>
      <c r="H61" s="326"/>
      <c r="I61" s="323"/>
      <c r="J61" s="326"/>
      <c r="K61" s="353"/>
      <c r="L61" s="326"/>
      <c r="M61" s="323"/>
      <c r="N61" s="326"/>
      <c r="O61" s="329"/>
      <c r="P61" s="671"/>
      <c r="Q61" s="672"/>
      <c r="R61" s="673"/>
    </row>
    <row r="62" spans="1:18" x14ac:dyDescent="0.2">
      <c r="A62" s="671"/>
      <c r="B62" s="672"/>
      <c r="C62" s="673"/>
      <c r="D62" s="338"/>
      <c r="E62" s="330"/>
      <c r="F62" s="331"/>
      <c r="G62" s="332"/>
      <c r="H62" s="333"/>
      <c r="I62" s="330"/>
      <c r="J62" s="333"/>
      <c r="K62" s="334"/>
      <c r="L62" s="333"/>
      <c r="M62" s="330"/>
      <c r="N62" s="333"/>
      <c r="O62" s="337"/>
      <c r="P62" s="671"/>
      <c r="Q62" s="672"/>
      <c r="R62" s="673"/>
    </row>
    <row r="63" spans="1:18" x14ac:dyDescent="0.2">
      <c r="A63" s="671"/>
      <c r="B63" s="672"/>
      <c r="C63" s="673"/>
      <c r="D63" s="338"/>
      <c r="E63" s="330"/>
      <c r="F63" s="331"/>
      <c r="G63" s="332"/>
      <c r="H63" s="333"/>
      <c r="I63" s="330"/>
      <c r="J63" s="333"/>
      <c r="K63" s="334"/>
      <c r="L63" s="333"/>
      <c r="M63" s="330"/>
      <c r="N63" s="333"/>
      <c r="O63" s="337"/>
      <c r="P63" s="671"/>
      <c r="Q63" s="672"/>
      <c r="R63" s="673"/>
    </row>
    <row r="64" spans="1:18" x14ac:dyDescent="0.2">
      <c r="A64" s="671"/>
      <c r="B64" s="672"/>
      <c r="C64" s="673"/>
      <c r="D64" s="338"/>
      <c r="E64" s="330"/>
      <c r="F64" s="331"/>
      <c r="G64" s="332"/>
      <c r="H64" s="333"/>
      <c r="I64" s="330"/>
      <c r="J64" s="333"/>
      <c r="K64" s="334"/>
      <c r="L64" s="24"/>
      <c r="M64" s="330"/>
      <c r="N64" s="333"/>
      <c r="O64" s="337"/>
      <c r="P64" s="671"/>
      <c r="Q64" s="672"/>
      <c r="R64" s="673"/>
    </row>
    <row r="65" spans="1:18" x14ac:dyDescent="0.2">
      <c r="A65" s="671"/>
      <c r="B65" s="672"/>
      <c r="C65" s="673"/>
      <c r="D65" s="338"/>
      <c r="E65" s="330"/>
      <c r="F65" s="331"/>
      <c r="G65" s="332"/>
      <c r="H65" s="333"/>
      <c r="I65" s="330"/>
      <c r="J65" s="333"/>
      <c r="K65" s="60"/>
      <c r="L65" s="333"/>
      <c r="M65" s="341"/>
      <c r="N65" s="33"/>
      <c r="O65" s="283"/>
      <c r="P65" s="671"/>
      <c r="Q65" s="672"/>
      <c r="R65" s="673"/>
    </row>
    <row r="66" spans="1:18" x14ac:dyDescent="0.2">
      <c r="A66" s="671"/>
      <c r="B66" s="672"/>
      <c r="C66" s="673"/>
      <c r="D66" s="338"/>
      <c r="E66" s="330"/>
      <c r="F66" s="331"/>
      <c r="G66" s="332"/>
      <c r="H66" s="333"/>
      <c r="I66" s="330"/>
      <c r="J66" s="333"/>
      <c r="K66" s="334"/>
      <c r="L66" s="333"/>
      <c r="M66" s="343"/>
      <c r="N66" s="344"/>
      <c r="O66" s="337"/>
      <c r="P66" s="671"/>
      <c r="Q66" s="672"/>
      <c r="R66" s="673"/>
    </row>
    <row r="67" spans="1:18" x14ac:dyDescent="0.2">
      <c r="A67" s="755"/>
      <c r="B67" s="756"/>
      <c r="C67" s="757"/>
      <c r="D67" s="338"/>
      <c r="E67" s="330"/>
      <c r="F67" s="331"/>
      <c r="G67" s="332"/>
      <c r="H67" s="333"/>
      <c r="I67" s="330"/>
      <c r="J67" s="333"/>
      <c r="K67" s="334"/>
      <c r="L67" s="333"/>
      <c r="M67" s="343"/>
      <c r="N67" s="344"/>
      <c r="O67" s="337"/>
      <c r="P67" s="671"/>
      <c r="Q67" s="672"/>
      <c r="R67" s="673"/>
    </row>
    <row r="68" spans="1:18" x14ac:dyDescent="0.2">
      <c r="A68" s="740"/>
      <c r="B68" s="654"/>
      <c r="C68" s="741"/>
      <c r="D68" s="338"/>
      <c r="E68" s="330"/>
      <c r="F68" s="331"/>
      <c r="G68" s="332"/>
      <c r="H68" s="333"/>
      <c r="I68" s="330"/>
      <c r="J68" s="333"/>
      <c r="K68" s="334"/>
      <c r="L68" s="333"/>
      <c r="M68" s="343"/>
      <c r="N68" s="344"/>
      <c r="O68" s="337"/>
      <c r="P68" s="671"/>
      <c r="Q68" s="672"/>
      <c r="R68" s="673"/>
    </row>
    <row r="69" spans="1:18" x14ac:dyDescent="0.2">
      <c r="A69" s="671"/>
      <c r="B69" s="672"/>
      <c r="C69" s="673"/>
      <c r="D69" s="22"/>
      <c r="E69" s="330"/>
      <c r="F69" s="331"/>
      <c r="G69" s="332"/>
      <c r="H69" s="333"/>
      <c r="I69" s="330"/>
      <c r="J69" s="24"/>
      <c r="K69" s="346"/>
      <c r="L69" s="24"/>
      <c r="M69" s="343"/>
      <c r="N69" s="344"/>
      <c r="O69" s="337"/>
      <c r="P69" s="671"/>
      <c r="Q69" s="672"/>
      <c r="R69" s="673"/>
    </row>
    <row r="70" spans="1:18" x14ac:dyDescent="0.2">
      <c r="A70" s="671"/>
      <c r="B70" s="672"/>
      <c r="C70" s="673"/>
      <c r="D70" s="22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671"/>
      <c r="Q70" s="672"/>
      <c r="R70" s="673"/>
    </row>
    <row r="71" spans="1:18" x14ac:dyDescent="0.2">
      <c r="A71" s="671"/>
      <c r="B71" s="672"/>
      <c r="C71" s="673"/>
      <c r="D71" s="338"/>
      <c r="E71" s="330"/>
      <c r="F71" s="331"/>
      <c r="G71" s="332"/>
      <c r="H71" s="333"/>
      <c r="I71" s="347"/>
      <c r="J71" s="333"/>
      <c r="K71" s="334"/>
      <c r="L71" s="333"/>
      <c r="M71" s="343"/>
      <c r="N71" s="344"/>
      <c r="O71" s="337"/>
      <c r="P71" s="671"/>
      <c r="Q71" s="672"/>
      <c r="R71" s="673"/>
    </row>
    <row r="72" spans="1:18" x14ac:dyDescent="0.2">
      <c r="A72" s="740"/>
      <c r="B72" s="654"/>
      <c r="C72" s="741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671"/>
      <c r="Q72" s="672"/>
      <c r="R72" s="673"/>
    </row>
    <row r="73" spans="1:18" x14ac:dyDescent="0.2">
      <c r="A73" s="671"/>
      <c r="B73" s="672"/>
      <c r="C73" s="673"/>
      <c r="D73" s="338"/>
      <c r="E73" s="330"/>
      <c r="F73" s="331"/>
      <c r="G73" s="332"/>
      <c r="H73" s="333"/>
      <c r="I73" s="330"/>
      <c r="J73" s="333"/>
      <c r="K73" s="334"/>
      <c r="L73" s="333"/>
      <c r="M73" s="343"/>
      <c r="N73" s="344"/>
      <c r="O73" s="337"/>
      <c r="P73" s="671"/>
      <c r="Q73" s="672"/>
      <c r="R73" s="673"/>
    </row>
    <row r="74" spans="1:18" x14ac:dyDescent="0.2">
      <c r="A74" s="671"/>
      <c r="B74" s="672"/>
      <c r="C74" s="673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671"/>
      <c r="Q74" s="672"/>
      <c r="R74" s="673"/>
    </row>
    <row r="75" spans="1:18" x14ac:dyDescent="0.2">
      <c r="A75" s="671"/>
      <c r="B75" s="672"/>
      <c r="C75" s="673"/>
      <c r="D75" s="338"/>
      <c r="E75" s="330"/>
      <c r="F75" s="331"/>
      <c r="G75" s="332"/>
      <c r="H75" s="333"/>
      <c r="I75" s="330"/>
      <c r="J75" s="333"/>
      <c r="K75" s="334"/>
      <c r="L75" s="333"/>
      <c r="M75" s="343"/>
      <c r="N75" s="344"/>
      <c r="O75" s="337"/>
      <c r="P75" s="671"/>
      <c r="Q75" s="672"/>
      <c r="R75" s="673"/>
    </row>
    <row r="76" spans="1:18" x14ac:dyDescent="0.2">
      <c r="A76" s="671"/>
      <c r="B76" s="672"/>
      <c r="C76" s="673"/>
      <c r="D76" s="338"/>
      <c r="E76" s="330"/>
      <c r="F76" s="331"/>
      <c r="G76" s="332"/>
      <c r="H76" s="333"/>
      <c r="I76" s="347"/>
      <c r="J76" s="333"/>
      <c r="K76" s="334"/>
      <c r="L76" s="333"/>
      <c r="M76" s="343"/>
      <c r="N76" s="344"/>
      <c r="O76" s="337"/>
      <c r="P76" s="671"/>
      <c r="Q76" s="672"/>
      <c r="R76" s="673"/>
    </row>
    <row r="77" spans="1:18" x14ac:dyDescent="0.2">
      <c r="A77" s="776"/>
      <c r="B77" s="777"/>
      <c r="C77" s="778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671"/>
      <c r="Q77" s="672"/>
      <c r="R77" s="673"/>
    </row>
    <row r="78" spans="1:18" x14ac:dyDescent="0.2">
      <c r="A78" s="719"/>
      <c r="B78" s="720"/>
      <c r="C78" s="721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671"/>
      <c r="Q78" s="672"/>
      <c r="R78" s="673"/>
    </row>
    <row r="79" spans="1:18" x14ac:dyDescent="0.2">
      <c r="A79" s="719"/>
      <c r="B79" s="720"/>
      <c r="C79" s="721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671"/>
      <c r="Q79" s="672"/>
      <c r="R79" s="673"/>
    </row>
    <row r="80" spans="1:18" x14ac:dyDescent="0.2">
      <c r="A80" s="719"/>
      <c r="B80" s="720"/>
      <c r="C80" s="721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671"/>
      <c r="Q80" s="672"/>
      <c r="R80" s="673"/>
    </row>
    <row r="81" spans="1:18" x14ac:dyDescent="0.2">
      <c r="A81" s="719"/>
      <c r="B81" s="720"/>
      <c r="C81" s="721"/>
      <c r="D81" s="338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671"/>
      <c r="Q81" s="672"/>
      <c r="R81" s="673"/>
    </row>
    <row r="82" spans="1:18" x14ac:dyDescent="0.2">
      <c r="A82" s="707"/>
      <c r="B82" s="708"/>
      <c r="C82" s="709"/>
      <c r="D82" s="338"/>
      <c r="E82" s="330"/>
      <c r="F82" s="331"/>
      <c r="G82" s="332"/>
      <c r="H82" s="333"/>
      <c r="I82" s="330"/>
      <c r="J82" s="333"/>
      <c r="K82" s="334"/>
      <c r="L82" s="333"/>
      <c r="M82" s="343"/>
      <c r="N82" s="344"/>
      <c r="O82" s="337"/>
      <c r="P82" s="671"/>
      <c r="Q82" s="672"/>
      <c r="R82" s="673"/>
    </row>
    <row r="83" spans="1:18" x14ac:dyDescent="0.2">
      <c r="A83" s="740"/>
      <c r="B83" s="654"/>
      <c r="C83" s="741"/>
      <c r="D83" s="338"/>
      <c r="E83" s="330"/>
      <c r="F83" s="331"/>
      <c r="G83" s="332"/>
      <c r="H83" s="333"/>
      <c r="I83" s="330"/>
      <c r="J83" s="333"/>
      <c r="K83" s="334"/>
      <c r="L83" s="333"/>
      <c r="M83" s="343"/>
      <c r="N83" s="344"/>
      <c r="O83" s="337"/>
      <c r="P83" s="671"/>
      <c r="Q83" s="672"/>
      <c r="R83" s="673"/>
    </row>
    <row r="84" spans="1:18" x14ac:dyDescent="0.2">
      <c r="A84" s="671"/>
      <c r="B84" s="672"/>
      <c r="C84" s="673"/>
      <c r="D84" s="22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671"/>
      <c r="Q84" s="672"/>
      <c r="R84" s="673"/>
    </row>
    <row r="85" spans="1:18" x14ac:dyDescent="0.2">
      <c r="A85" s="671"/>
      <c r="B85" s="672"/>
      <c r="C85" s="673"/>
      <c r="D85" s="338"/>
      <c r="E85" s="330"/>
      <c r="F85" s="331"/>
      <c r="G85" s="332"/>
      <c r="H85" s="333"/>
      <c r="I85" s="330"/>
      <c r="J85" s="333"/>
      <c r="K85" s="334"/>
      <c r="L85" s="24"/>
      <c r="M85" s="343"/>
      <c r="N85" s="344"/>
      <c r="O85" s="337"/>
      <c r="P85" s="671"/>
      <c r="Q85" s="672"/>
      <c r="R85" s="673"/>
    </row>
    <row r="86" spans="1:18" x14ac:dyDescent="0.2">
      <c r="A86" s="671"/>
      <c r="B86" s="672"/>
      <c r="C86" s="673"/>
      <c r="D86" s="338"/>
      <c r="E86" s="330"/>
      <c r="F86" s="331"/>
      <c r="G86" s="332"/>
      <c r="H86" s="333"/>
      <c r="I86" s="330"/>
      <c r="J86" s="333"/>
      <c r="K86" s="60"/>
      <c r="L86" s="333"/>
      <c r="M86" s="341"/>
      <c r="N86" s="33"/>
      <c r="O86" s="337"/>
      <c r="P86" s="671"/>
      <c r="Q86" s="672"/>
      <c r="R86" s="673"/>
    </row>
    <row r="87" spans="1:18" x14ac:dyDescent="0.2">
      <c r="A87" s="671"/>
      <c r="B87" s="672"/>
      <c r="C87" s="673"/>
      <c r="D87" s="338"/>
      <c r="E87" s="330"/>
      <c r="F87" s="331"/>
      <c r="G87" s="332"/>
      <c r="H87" s="333"/>
      <c r="I87" s="330"/>
      <c r="J87" s="333"/>
      <c r="K87" s="334"/>
      <c r="L87" s="333"/>
      <c r="M87" s="343"/>
      <c r="N87" s="344"/>
      <c r="O87" s="337"/>
      <c r="P87" s="671"/>
      <c r="Q87" s="672"/>
      <c r="R87" s="673"/>
    </row>
    <row r="88" spans="1:18" x14ac:dyDescent="0.2">
      <c r="A88" s="755"/>
      <c r="B88" s="756"/>
      <c r="C88" s="757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671"/>
      <c r="Q88" s="672"/>
      <c r="R88" s="673"/>
    </row>
    <row r="89" spans="1:18" x14ac:dyDescent="0.2">
      <c r="A89" s="740"/>
      <c r="B89" s="654"/>
      <c r="C89" s="74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671"/>
      <c r="Q89" s="672"/>
      <c r="R89" s="673"/>
    </row>
    <row r="90" spans="1:18" x14ac:dyDescent="0.2">
      <c r="A90" s="671"/>
      <c r="B90" s="672"/>
      <c r="C90" s="673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671"/>
      <c r="Q90" s="672"/>
      <c r="R90" s="673"/>
    </row>
    <row r="91" spans="1:18" x14ac:dyDescent="0.2">
      <c r="A91" s="671"/>
      <c r="B91" s="672"/>
      <c r="C91" s="673"/>
      <c r="D91" s="338"/>
      <c r="E91" s="330"/>
      <c r="F91" s="331"/>
      <c r="G91" s="332"/>
      <c r="H91" s="333"/>
      <c r="I91" s="330"/>
      <c r="J91" s="333"/>
      <c r="K91" s="334"/>
      <c r="L91" s="333"/>
      <c r="M91" s="343"/>
      <c r="N91" s="344"/>
      <c r="O91" s="337"/>
      <c r="P91" s="671"/>
      <c r="Q91" s="672"/>
      <c r="R91" s="673"/>
    </row>
    <row r="92" spans="1:18" x14ac:dyDescent="0.2">
      <c r="A92" s="740"/>
      <c r="B92" s="654"/>
      <c r="C92" s="741"/>
      <c r="D92" s="338"/>
      <c r="E92" s="330"/>
      <c r="F92" s="331"/>
      <c r="G92" s="332"/>
      <c r="H92" s="333"/>
      <c r="I92" s="330"/>
      <c r="J92" s="333"/>
      <c r="K92" s="334"/>
      <c r="L92" s="333"/>
      <c r="M92" s="343"/>
      <c r="N92" s="344"/>
      <c r="O92" s="337"/>
      <c r="P92" s="671"/>
      <c r="Q92" s="672"/>
      <c r="R92" s="673"/>
    </row>
    <row r="93" spans="1:18" x14ac:dyDescent="0.2">
      <c r="A93" s="671"/>
      <c r="B93" s="672"/>
      <c r="C93" s="673"/>
      <c r="D93" s="338"/>
      <c r="E93" s="330"/>
      <c r="F93" s="331"/>
      <c r="G93" s="332"/>
      <c r="H93" s="333"/>
      <c r="I93" s="347"/>
      <c r="J93" s="333"/>
      <c r="K93" s="334"/>
      <c r="L93" s="333"/>
      <c r="M93" s="343"/>
      <c r="N93" s="344"/>
      <c r="O93" s="337"/>
      <c r="P93" s="671"/>
      <c r="Q93" s="672"/>
      <c r="R93" s="673"/>
    </row>
    <row r="94" spans="1:18" x14ac:dyDescent="0.2">
      <c r="A94" s="671"/>
      <c r="B94" s="672"/>
      <c r="C94" s="673"/>
      <c r="D94" s="338"/>
      <c r="E94" s="330"/>
      <c r="F94" s="331"/>
      <c r="G94" s="332"/>
      <c r="H94" s="333"/>
      <c r="I94" s="347"/>
      <c r="J94" s="333"/>
      <c r="K94" s="334"/>
      <c r="L94" s="333"/>
      <c r="M94" s="343"/>
      <c r="N94" s="344"/>
      <c r="O94" s="337"/>
      <c r="P94" s="671"/>
      <c r="Q94" s="672"/>
      <c r="R94" s="673"/>
    </row>
    <row r="95" spans="1:18" x14ac:dyDescent="0.2">
      <c r="A95" s="671"/>
      <c r="B95" s="672"/>
      <c r="C95" s="673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671"/>
      <c r="Q95" s="672"/>
      <c r="R95" s="673"/>
    </row>
    <row r="96" spans="1:18" x14ac:dyDescent="0.2">
      <c r="A96" s="740"/>
      <c r="B96" s="654"/>
      <c r="C96" s="741"/>
      <c r="D96" s="338"/>
      <c r="E96" s="330"/>
      <c r="F96" s="331"/>
      <c r="G96" s="332"/>
      <c r="H96" s="333"/>
      <c r="I96" s="330"/>
      <c r="J96" s="333"/>
      <c r="K96" s="334"/>
      <c r="L96" s="333"/>
      <c r="M96" s="343"/>
      <c r="N96" s="344"/>
      <c r="O96" s="337"/>
      <c r="P96" s="671"/>
      <c r="Q96" s="672"/>
      <c r="R96" s="673"/>
    </row>
    <row r="97" spans="1:18" x14ac:dyDescent="0.2">
      <c r="A97" s="671"/>
      <c r="B97" s="672"/>
      <c r="C97" s="673"/>
      <c r="D97" s="338"/>
      <c r="E97" s="330"/>
      <c r="F97" s="331"/>
      <c r="G97" s="332"/>
      <c r="H97" s="333"/>
      <c r="I97" s="347"/>
      <c r="J97" s="24"/>
      <c r="K97" s="334"/>
      <c r="L97" s="333"/>
      <c r="M97" s="343"/>
      <c r="N97" s="344"/>
      <c r="O97" s="337"/>
      <c r="P97" s="671"/>
      <c r="Q97" s="672"/>
      <c r="R97" s="673"/>
    </row>
    <row r="98" spans="1:18" x14ac:dyDescent="0.2">
      <c r="A98" s="671"/>
      <c r="B98" s="672"/>
      <c r="C98" s="673"/>
      <c r="D98" s="338"/>
      <c r="E98" s="330"/>
      <c r="F98" s="331"/>
      <c r="G98" s="332"/>
      <c r="H98" s="333"/>
      <c r="I98" s="347"/>
      <c r="J98" s="333"/>
      <c r="K98" s="334"/>
      <c r="L98" s="333"/>
      <c r="M98" s="343"/>
      <c r="N98" s="344"/>
      <c r="O98" s="337"/>
      <c r="P98" s="671"/>
      <c r="Q98" s="672"/>
      <c r="R98" s="673"/>
    </row>
    <row r="99" spans="1:18" x14ac:dyDescent="0.2">
      <c r="A99" s="671"/>
      <c r="B99" s="672"/>
      <c r="C99" s="673"/>
      <c r="D99" s="338"/>
      <c r="E99" s="330"/>
      <c r="F99" s="331"/>
      <c r="G99" s="332"/>
      <c r="H99" s="333"/>
      <c r="I99" s="347"/>
      <c r="J99" s="333"/>
      <c r="K99" s="334"/>
      <c r="L99" s="333"/>
      <c r="M99" s="343"/>
      <c r="N99" s="344"/>
      <c r="O99" s="337"/>
      <c r="P99" s="671"/>
      <c r="Q99" s="672"/>
      <c r="R99" s="673"/>
    </row>
    <row r="100" spans="1:18" x14ac:dyDescent="0.2">
      <c r="A100" s="671"/>
      <c r="B100" s="672"/>
      <c r="C100" s="673"/>
      <c r="D100" s="338"/>
      <c r="E100" s="330"/>
      <c r="F100" s="331"/>
      <c r="G100" s="332"/>
      <c r="H100" s="333"/>
      <c r="I100" s="347"/>
      <c r="J100" s="333"/>
      <c r="K100" s="334"/>
      <c r="L100" s="333"/>
      <c r="M100" s="343"/>
      <c r="N100" s="344"/>
      <c r="O100" s="337"/>
      <c r="P100" s="671"/>
      <c r="Q100" s="672"/>
      <c r="R100" s="673"/>
    </row>
    <row r="101" spans="1:18" x14ac:dyDescent="0.2">
      <c r="A101" s="671"/>
      <c r="B101" s="672"/>
      <c r="C101" s="673"/>
      <c r="D101" s="338"/>
      <c r="E101" s="330"/>
      <c r="F101" s="331"/>
      <c r="G101" s="281"/>
      <c r="H101" s="333"/>
      <c r="I101" s="347"/>
      <c r="J101" s="333"/>
      <c r="K101" s="334"/>
      <c r="L101" s="333"/>
      <c r="M101" s="343"/>
      <c r="N101" s="344"/>
      <c r="O101" s="337"/>
      <c r="P101" s="671"/>
      <c r="Q101" s="672"/>
      <c r="R101" s="673"/>
    </row>
    <row r="102" spans="1:18" x14ac:dyDescent="0.2">
      <c r="A102" s="740"/>
      <c r="B102" s="654"/>
      <c r="C102" s="741"/>
      <c r="D102" s="338"/>
      <c r="E102" s="330"/>
      <c r="F102" s="331"/>
      <c r="G102" s="332"/>
      <c r="H102" s="333"/>
      <c r="I102" s="330"/>
      <c r="J102" s="333"/>
      <c r="K102" s="334"/>
      <c r="L102" s="333"/>
      <c r="M102" s="343"/>
      <c r="N102" s="344"/>
      <c r="O102" s="337"/>
      <c r="P102" s="671"/>
      <c r="Q102" s="672"/>
      <c r="R102" s="673"/>
    </row>
    <row r="103" spans="1:18" x14ac:dyDescent="0.2">
      <c r="A103" s="671"/>
      <c r="B103" s="672"/>
      <c r="C103" s="673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671"/>
      <c r="Q103" s="672"/>
      <c r="R103" s="673"/>
    </row>
    <row r="104" spans="1:18" x14ac:dyDescent="0.2">
      <c r="A104" s="671"/>
      <c r="B104" s="672"/>
      <c r="C104" s="673"/>
      <c r="D104" s="338"/>
      <c r="E104" s="330"/>
      <c r="F104" s="331"/>
      <c r="G104" s="332"/>
      <c r="H104" s="333"/>
      <c r="I104" s="330"/>
      <c r="J104" s="333"/>
      <c r="K104" s="349"/>
      <c r="L104" s="24"/>
      <c r="M104" s="343"/>
      <c r="N104" s="344"/>
      <c r="O104" s="337"/>
      <c r="P104" s="671"/>
      <c r="Q104" s="672"/>
      <c r="R104" s="673"/>
    </row>
    <row r="105" spans="1:18" x14ac:dyDescent="0.2">
      <c r="A105" s="671"/>
      <c r="B105" s="672"/>
      <c r="C105" s="673"/>
      <c r="D105" s="338"/>
      <c r="E105" s="330"/>
      <c r="F105" s="331"/>
      <c r="G105" s="332"/>
      <c r="H105" s="333"/>
      <c r="I105" s="330"/>
      <c r="J105" s="333"/>
      <c r="K105" s="60"/>
      <c r="L105" s="333"/>
      <c r="M105" s="341"/>
      <c r="N105" s="33"/>
      <c r="O105" s="337"/>
      <c r="P105" s="671"/>
      <c r="Q105" s="672"/>
      <c r="R105" s="673"/>
    </row>
    <row r="106" spans="1:18" x14ac:dyDescent="0.2">
      <c r="A106" s="671"/>
      <c r="B106" s="672"/>
      <c r="C106" s="673"/>
      <c r="D106" s="338"/>
      <c r="E106" s="330"/>
      <c r="F106" s="331"/>
      <c r="G106" s="332"/>
      <c r="H106" s="333"/>
      <c r="I106" s="330"/>
      <c r="J106" s="333"/>
      <c r="K106" s="334"/>
      <c r="L106" s="333"/>
      <c r="M106" s="343"/>
      <c r="N106" s="344"/>
      <c r="O106" s="337"/>
      <c r="P106" s="671"/>
      <c r="Q106" s="672"/>
      <c r="R106" s="673"/>
    </row>
    <row r="107" spans="1:18" x14ac:dyDescent="0.2">
      <c r="A107" s="755"/>
      <c r="B107" s="756"/>
      <c r="C107" s="757"/>
      <c r="D107" s="338"/>
      <c r="E107" s="330"/>
      <c r="F107" s="331"/>
      <c r="G107" s="332"/>
      <c r="H107" s="333"/>
      <c r="I107" s="330"/>
      <c r="J107" s="333"/>
      <c r="K107" s="334"/>
      <c r="L107" s="333"/>
      <c r="M107" s="343"/>
      <c r="N107" s="344"/>
      <c r="O107" s="337"/>
      <c r="P107" s="671"/>
      <c r="Q107" s="672"/>
      <c r="R107" s="673"/>
    </row>
    <row r="108" spans="1:18" x14ac:dyDescent="0.2">
      <c r="A108" s="671"/>
      <c r="B108" s="672"/>
      <c r="C108" s="673"/>
      <c r="D108" s="22"/>
      <c r="E108" s="330"/>
      <c r="F108" s="331"/>
      <c r="G108" s="332"/>
      <c r="H108" s="333"/>
      <c r="I108" s="330"/>
      <c r="J108" s="24"/>
      <c r="K108" s="334"/>
      <c r="L108" s="333"/>
      <c r="M108" s="343"/>
      <c r="N108" s="344"/>
      <c r="O108" s="337"/>
      <c r="P108" s="671"/>
      <c r="Q108" s="672"/>
      <c r="R108" s="673"/>
    </row>
    <row r="109" spans="1:18" x14ac:dyDescent="0.2">
      <c r="A109" s="671"/>
      <c r="B109" s="672"/>
      <c r="C109" s="673"/>
      <c r="D109" s="338"/>
      <c r="E109" s="330"/>
      <c r="F109" s="331"/>
      <c r="G109" s="332"/>
      <c r="H109" s="333"/>
      <c r="I109" s="347"/>
      <c r="J109" s="333"/>
      <c r="K109" s="334"/>
      <c r="L109" s="333"/>
      <c r="M109" s="343"/>
      <c r="N109" s="344"/>
      <c r="O109" s="337"/>
      <c r="P109" s="671"/>
      <c r="Q109" s="672"/>
      <c r="R109" s="673"/>
    </row>
    <row r="110" spans="1:18" x14ac:dyDescent="0.2">
      <c r="A110" s="671"/>
      <c r="B110" s="672"/>
      <c r="C110" s="673"/>
      <c r="D110" s="338"/>
      <c r="E110" s="330"/>
      <c r="F110" s="331"/>
      <c r="G110" s="332"/>
      <c r="H110" s="333"/>
      <c r="I110" s="330"/>
      <c r="J110" s="333"/>
      <c r="K110" s="349"/>
      <c r="L110" s="24"/>
      <c r="M110" s="343"/>
      <c r="N110" s="344"/>
      <c r="O110" s="337"/>
      <c r="P110" s="671"/>
      <c r="Q110" s="672"/>
      <c r="R110" s="673"/>
    </row>
    <row r="111" spans="1:18" x14ac:dyDescent="0.2">
      <c r="A111" s="677"/>
      <c r="B111" s="678"/>
      <c r="C111" s="679"/>
      <c r="D111" s="354"/>
      <c r="E111" s="355"/>
      <c r="F111" s="356"/>
      <c r="G111" s="357"/>
      <c r="H111" s="358"/>
      <c r="I111" s="355"/>
      <c r="J111" s="358"/>
      <c r="K111" s="62"/>
      <c r="L111" s="358"/>
      <c r="M111" s="359"/>
      <c r="N111" s="37"/>
      <c r="O111" s="360"/>
      <c r="P111" s="677"/>
      <c r="Q111" s="678"/>
      <c r="R111" s="679"/>
    </row>
  </sheetData>
  <mergeCells count="219">
    <mergeCell ref="A109:C109"/>
    <mergeCell ref="P109:R109"/>
    <mergeCell ref="A110:C110"/>
    <mergeCell ref="P110:R110"/>
    <mergeCell ref="A111:C111"/>
    <mergeCell ref="P111:R111"/>
    <mergeCell ref="A106:C106"/>
    <mergeCell ref="P106:R106"/>
    <mergeCell ref="A107:C107"/>
    <mergeCell ref="P107:R107"/>
    <mergeCell ref="A108:C108"/>
    <mergeCell ref="P108:R108"/>
    <mergeCell ref="A103:C103"/>
    <mergeCell ref="P103:R103"/>
    <mergeCell ref="A104:C104"/>
    <mergeCell ref="P104:R104"/>
    <mergeCell ref="A105:C105"/>
    <mergeCell ref="P105:R105"/>
    <mergeCell ref="A100:C100"/>
    <mergeCell ref="P100:R100"/>
    <mergeCell ref="A101:C101"/>
    <mergeCell ref="P101:R101"/>
    <mergeCell ref="A102:C102"/>
    <mergeCell ref="P102:R102"/>
    <mergeCell ref="A97:C97"/>
    <mergeCell ref="P97:R97"/>
    <mergeCell ref="A98:C98"/>
    <mergeCell ref="P98:R98"/>
    <mergeCell ref="A99:C99"/>
    <mergeCell ref="P99:R99"/>
    <mergeCell ref="A94:C94"/>
    <mergeCell ref="P94:R94"/>
    <mergeCell ref="A95:C95"/>
    <mergeCell ref="P95:R95"/>
    <mergeCell ref="A96:C96"/>
    <mergeCell ref="P96:R96"/>
    <mergeCell ref="A91:C91"/>
    <mergeCell ref="P91:R91"/>
    <mergeCell ref="A92:C92"/>
    <mergeCell ref="P92:R92"/>
    <mergeCell ref="A93:C93"/>
    <mergeCell ref="P93:R93"/>
    <mergeCell ref="A88:C88"/>
    <mergeCell ref="P88:R88"/>
    <mergeCell ref="A89:C89"/>
    <mergeCell ref="P89:R89"/>
    <mergeCell ref="A90:C90"/>
    <mergeCell ref="P90:R90"/>
    <mergeCell ref="A85:C85"/>
    <mergeCell ref="P85:R85"/>
    <mergeCell ref="A86:C86"/>
    <mergeCell ref="P86:R86"/>
    <mergeCell ref="A87:C87"/>
    <mergeCell ref="P87:R87"/>
    <mergeCell ref="A82:C82"/>
    <mergeCell ref="P82:R82"/>
    <mergeCell ref="A83:C83"/>
    <mergeCell ref="P83:R83"/>
    <mergeCell ref="A84:C84"/>
    <mergeCell ref="P84:R84"/>
    <mergeCell ref="A79:C79"/>
    <mergeCell ref="P79:R79"/>
    <mergeCell ref="A80:C80"/>
    <mergeCell ref="P80:R80"/>
    <mergeCell ref="A81:C81"/>
    <mergeCell ref="P81:R81"/>
    <mergeCell ref="A76:C76"/>
    <mergeCell ref="P76:R76"/>
    <mergeCell ref="A77:C77"/>
    <mergeCell ref="P77:R77"/>
    <mergeCell ref="A78:C78"/>
    <mergeCell ref="P78:R78"/>
    <mergeCell ref="A73:C73"/>
    <mergeCell ref="P73:R73"/>
    <mergeCell ref="A74:C74"/>
    <mergeCell ref="P74:R74"/>
    <mergeCell ref="A75:C75"/>
    <mergeCell ref="P75:R75"/>
    <mergeCell ref="A70:C70"/>
    <mergeCell ref="P70:R70"/>
    <mergeCell ref="A71:C71"/>
    <mergeCell ref="P71:R71"/>
    <mergeCell ref="A72:C72"/>
    <mergeCell ref="P72:R72"/>
    <mergeCell ref="A67:C67"/>
    <mergeCell ref="P67:R67"/>
    <mergeCell ref="A68:C68"/>
    <mergeCell ref="P68:R68"/>
    <mergeCell ref="A69:C69"/>
    <mergeCell ref="P69:R69"/>
    <mergeCell ref="A64:C64"/>
    <mergeCell ref="P64:R64"/>
    <mergeCell ref="A65:C65"/>
    <mergeCell ref="P65:R65"/>
    <mergeCell ref="A66:C66"/>
    <mergeCell ref="P66:R66"/>
    <mergeCell ref="A61:C61"/>
    <mergeCell ref="P61:R61"/>
    <mergeCell ref="A62:C62"/>
    <mergeCell ref="P62:R62"/>
    <mergeCell ref="A63:C63"/>
    <mergeCell ref="P63:R63"/>
    <mergeCell ref="A58:C58"/>
    <mergeCell ref="P58:R58"/>
    <mergeCell ref="A59:C59"/>
    <mergeCell ref="P59:R59"/>
    <mergeCell ref="A60:C60"/>
    <mergeCell ref="P60:R60"/>
    <mergeCell ref="A55:C55"/>
    <mergeCell ref="P55:R55"/>
    <mergeCell ref="A56:C56"/>
    <mergeCell ref="P56:R56"/>
    <mergeCell ref="A57:C57"/>
    <mergeCell ref="P57:R57"/>
    <mergeCell ref="A52:C52"/>
    <mergeCell ref="P52:R52"/>
    <mergeCell ref="A53:C53"/>
    <mergeCell ref="P53:R53"/>
    <mergeCell ref="A54:C54"/>
    <mergeCell ref="P54:R54"/>
    <mergeCell ref="A49:C49"/>
    <mergeCell ref="P49:R49"/>
    <mergeCell ref="A50:C50"/>
    <mergeCell ref="P50:R50"/>
    <mergeCell ref="A51:C51"/>
    <mergeCell ref="P51:R51"/>
    <mergeCell ref="A46:C46"/>
    <mergeCell ref="P46:R46"/>
    <mergeCell ref="A47:C47"/>
    <mergeCell ref="P47:R47"/>
    <mergeCell ref="A48:C48"/>
    <mergeCell ref="P48:R48"/>
    <mergeCell ref="A43:C43"/>
    <mergeCell ref="P43:R43"/>
    <mergeCell ref="A44:C44"/>
    <mergeCell ref="P44:R44"/>
    <mergeCell ref="A45:C45"/>
    <mergeCell ref="P45:R45"/>
    <mergeCell ref="A40:C40"/>
    <mergeCell ref="P40:R40"/>
    <mergeCell ref="A41:C41"/>
    <mergeCell ref="P41:R41"/>
    <mergeCell ref="A42:C42"/>
    <mergeCell ref="P42:R42"/>
    <mergeCell ref="A37:C37"/>
    <mergeCell ref="P37:R37"/>
    <mergeCell ref="A38:C38"/>
    <mergeCell ref="P38:R38"/>
    <mergeCell ref="A39:C39"/>
    <mergeCell ref="P39:R39"/>
    <mergeCell ref="A34:C34"/>
    <mergeCell ref="P34:R34"/>
    <mergeCell ref="A35:C35"/>
    <mergeCell ref="P35:R35"/>
    <mergeCell ref="A36:C36"/>
    <mergeCell ref="P36:R36"/>
    <mergeCell ref="A31:C31"/>
    <mergeCell ref="P31:R31"/>
    <mergeCell ref="A32:C32"/>
    <mergeCell ref="P32:R32"/>
    <mergeCell ref="A33:C33"/>
    <mergeCell ref="P33:R33"/>
    <mergeCell ref="A28:C28"/>
    <mergeCell ref="P28:R28"/>
    <mergeCell ref="A29:C29"/>
    <mergeCell ref="P29:R29"/>
    <mergeCell ref="A30:C30"/>
    <mergeCell ref="P30:R30"/>
    <mergeCell ref="A25:C25"/>
    <mergeCell ref="P25:R25"/>
    <mergeCell ref="A26:C26"/>
    <mergeCell ref="P26:R26"/>
    <mergeCell ref="A27:C27"/>
    <mergeCell ref="P27:R27"/>
    <mergeCell ref="A22:C22"/>
    <mergeCell ref="P22:R22"/>
    <mergeCell ref="A23:C23"/>
    <mergeCell ref="P23:R23"/>
    <mergeCell ref="A24:C24"/>
    <mergeCell ref="P24:R24"/>
    <mergeCell ref="A19:C19"/>
    <mergeCell ref="P19:R19"/>
    <mergeCell ref="A20:C20"/>
    <mergeCell ref="P20:R20"/>
    <mergeCell ref="A21:C21"/>
    <mergeCell ref="P21:R21"/>
    <mergeCell ref="A16:C16"/>
    <mergeCell ref="P16:R16"/>
    <mergeCell ref="A17:C17"/>
    <mergeCell ref="P17:R17"/>
    <mergeCell ref="A18:C18"/>
    <mergeCell ref="P18:R18"/>
    <mergeCell ref="A13:C13"/>
    <mergeCell ref="P13:R13"/>
    <mergeCell ref="A14:C14"/>
    <mergeCell ref="P14:R14"/>
    <mergeCell ref="A15:C15"/>
    <mergeCell ref="P15:R15"/>
    <mergeCell ref="A10:C10"/>
    <mergeCell ref="P10:R10"/>
    <mergeCell ref="A11:C11"/>
    <mergeCell ref="P11:R11"/>
    <mergeCell ref="A12:C12"/>
    <mergeCell ref="P12:R12"/>
    <mergeCell ref="P6:R6"/>
    <mergeCell ref="A7:C7"/>
    <mergeCell ref="P7:R7"/>
    <mergeCell ref="A8:C8"/>
    <mergeCell ref="P8:R8"/>
    <mergeCell ref="A9:C9"/>
    <mergeCell ref="P9:R9"/>
    <mergeCell ref="L1:M1"/>
    <mergeCell ref="L2:M2"/>
    <mergeCell ref="D3:F3"/>
    <mergeCell ref="L3:M3"/>
    <mergeCell ref="A4:C4"/>
    <mergeCell ref="D4:F4"/>
    <mergeCell ref="L4:M4"/>
    <mergeCell ref="P2:Q2"/>
  </mergeCells>
  <hyperlinks>
    <hyperlink ref="D7" r:id="rId1"/>
    <hyperlink ref="D14" r:id="rId2"/>
    <hyperlink ref="O8" location="'Doors Windows Price'!A1" display="P9"/>
    <hyperlink ref="O15" location="'Doors Windows Price'!A1" display="P9"/>
    <hyperlink ref="P2" location="'Table of Contents'!A1" display="Table of Contents"/>
  </hyperlinks>
  <pageMargins left="0.7" right="0.7" top="0.75" bottom="0.75" header="0.3" footer="0.3"/>
  <pageSetup orientation="portrait" r:id="rId3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C15" sqref="C15"/>
    </sheetView>
  </sheetViews>
  <sheetFormatPr defaultRowHeight="12.75" x14ac:dyDescent="0.2"/>
  <cols>
    <col min="1" max="2" width="2.7109375" style="292" customWidth="1"/>
    <col min="3" max="3" width="20.42578125" style="469" bestFit="1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712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664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252</v>
      </c>
      <c r="D9" s="575">
        <v>8</v>
      </c>
      <c r="E9" s="263">
        <f>'Doors and Windows'!I8</f>
        <v>16</v>
      </c>
      <c r="F9" s="263" t="s">
        <v>433</v>
      </c>
      <c r="G9" s="434">
        <v>154.05000000000001</v>
      </c>
      <c r="H9" s="435">
        <f t="shared" ref="H9:H20" si="0">G9*E9</f>
        <v>2464.8000000000002</v>
      </c>
      <c r="I9" s="436" t="s">
        <v>491</v>
      </c>
      <c r="J9" s="263">
        <v>16</v>
      </c>
      <c r="K9" s="263">
        <f t="shared" ref="K9:K20" si="1">E9/J9</f>
        <v>1</v>
      </c>
      <c r="L9" s="263">
        <f t="shared" ref="L9:L20" si="2">8*K9</f>
        <v>8</v>
      </c>
      <c r="M9" s="263" t="s">
        <v>473</v>
      </c>
      <c r="N9" s="437">
        <v>2</v>
      </c>
      <c r="O9" s="434">
        <v>22.05</v>
      </c>
      <c r="P9" s="438">
        <f>O9*N9*L9</f>
        <v>352.8</v>
      </c>
      <c r="Q9" s="439"/>
      <c r="R9" s="434"/>
      <c r="S9" s="435"/>
      <c r="T9" s="478">
        <f t="shared" ref="T9:T20" si="3">S9+P9+H9</f>
        <v>2817.6000000000004</v>
      </c>
      <c r="U9" s="436">
        <f t="shared" ref="U9:U20" si="4">T9/E9</f>
        <v>176.10000000000002</v>
      </c>
      <c r="V9" s="441" t="str">
        <f t="shared" ref="V9:V20" si="5">F9</f>
        <v>ea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/>
      <c r="I10" s="436"/>
      <c r="J10" s="263"/>
      <c r="K10" s="263"/>
      <c r="L10" s="263"/>
      <c r="M10" s="442"/>
      <c r="N10" s="443"/>
      <c r="O10" s="434"/>
      <c r="P10" s="438"/>
      <c r="Q10" s="439"/>
      <c r="R10" s="434"/>
      <c r="S10" s="435"/>
      <c r="T10" s="478"/>
      <c r="U10" s="436"/>
      <c r="V10" s="441"/>
    </row>
    <row r="11" spans="1:24" ht="15" x14ac:dyDescent="0.25">
      <c r="A11" s="444"/>
      <c r="B11" s="281"/>
      <c r="C11" s="432" t="s">
        <v>255</v>
      </c>
      <c r="D11" s="575">
        <v>8</v>
      </c>
      <c r="E11" s="263">
        <f>'Doors and Windows'!I9</f>
        <v>4</v>
      </c>
      <c r="F11" s="263" t="s">
        <v>433</v>
      </c>
      <c r="G11" s="434">
        <v>421.07</v>
      </c>
      <c r="H11" s="435">
        <f t="shared" si="0"/>
        <v>1684.28</v>
      </c>
      <c r="I11" s="436" t="s">
        <v>491</v>
      </c>
      <c r="J11" s="263">
        <v>17</v>
      </c>
      <c r="K11" s="263">
        <f t="shared" si="1"/>
        <v>0.23529411764705882</v>
      </c>
      <c r="L11" s="263">
        <f t="shared" si="2"/>
        <v>1.8823529411764706</v>
      </c>
      <c r="M11" s="263" t="s">
        <v>473</v>
      </c>
      <c r="N11" s="437">
        <v>2</v>
      </c>
      <c r="O11" s="434">
        <v>22.05</v>
      </c>
      <c r="P11" s="438">
        <f>O11*N11*L11</f>
        <v>83.011764705882356</v>
      </c>
      <c r="Q11" s="439"/>
      <c r="R11" s="434"/>
      <c r="S11" s="435"/>
      <c r="T11" s="478">
        <f t="shared" si="3"/>
        <v>1767.2917647058823</v>
      </c>
      <c r="U11" s="436">
        <f t="shared" si="4"/>
        <v>441.82294117647058</v>
      </c>
      <c r="V11" s="441" t="str">
        <f t="shared" si="5"/>
        <v>ea</v>
      </c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ht="15" x14ac:dyDescent="0.25">
      <c r="A13" s="431"/>
      <c r="B13" s="281"/>
      <c r="C13" s="432" t="s">
        <v>256</v>
      </c>
      <c r="D13" s="575">
        <v>8</v>
      </c>
      <c r="E13" s="263">
        <f>'Doors and Windows'!I10</f>
        <v>12</v>
      </c>
      <c r="F13" s="263" t="s">
        <v>433</v>
      </c>
      <c r="G13" s="434">
        <v>344.05</v>
      </c>
      <c r="H13" s="435">
        <f t="shared" si="0"/>
        <v>4128.6000000000004</v>
      </c>
      <c r="I13" s="436" t="s">
        <v>491</v>
      </c>
      <c r="J13" s="263">
        <v>15</v>
      </c>
      <c r="K13" s="263">
        <f t="shared" si="1"/>
        <v>0.8</v>
      </c>
      <c r="L13" s="263">
        <f t="shared" si="2"/>
        <v>6.4</v>
      </c>
      <c r="M13" s="263" t="s">
        <v>473</v>
      </c>
      <c r="N13" s="437">
        <v>2</v>
      </c>
      <c r="O13" s="434">
        <v>22.05</v>
      </c>
      <c r="P13" s="438">
        <f>O13*N13*L13</f>
        <v>282.24</v>
      </c>
      <c r="Q13" s="439"/>
      <c r="R13" s="434"/>
      <c r="S13" s="435"/>
      <c r="T13" s="478">
        <f t="shared" si="3"/>
        <v>4410.84</v>
      </c>
      <c r="U13" s="436">
        <f t="shared" si="4"/>
        <v>367.57</v>
      </c>
      <c r="V13" s="441" t="str">
        <f t="shared" si="5"/>
        <v>ea</v>
      </c>
    </row>
    <row r="14" spans="1:24" x14ac:dyDescent="0.2">
      <c r="A14" s="444"/>
      <c r="B14" s="281"/>
      <c r="C14" s="43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ht="15" x14ac:dyDescent="0.25">
      <c r="A15" s="431"/>
      <c r="B15" s="281"/>
      <c r="C15" s="432" t="s">
        <v>257</v>
      </c>
      <c r="D15" s="575">
        <v>8</v>
      </c>
      <c r="E15" s="263">
        <v>2</v>
      </c>
      <c r="F15" s="263" t="s">
        <v>131</v>
      </c>
      <c r="G15" s="434">
        <v>1540.5</v>
      </c>
      <c r="H15" s="435">
        <f t="shared" si="0"/>
        <v>3081</v>
      </c>
      <c r="I15" s="436" t="s">
        <v>491</v>
      </c>
      <c r="J15" s="263">
        <v>4</v>
      </c>
      <c r="K15" s="263">
        <f t="shared" si="1"/>
        <v>0.5</v>
      </c>
      <c r="L15" s="263">
        <f t="shared" si="2"/>
        <v>4</v>
      </c>
      <c r="M15" s="263" t="s">
        <v>473</v>
      </c>
      <c r="N15" s="437">
        <v>2</v>
      </c>
      <c r="O15" s="434">
        <v>22.05</v>
      </c>
      <c r="P15" s="438">
        <f>O15*N15*L15</f>
        <v>176.4</v>
      </c>
      <c r="Q15" s="439"/>
      <c r="R15" s="434"/>
      <c r="S15" s="435"/>
      <c r="T15" s="478">
        <f t="shared" si="3"/>
        <v>3257.4</v>
      </c>
      <c r="U15" s="436">
        <f t="shared" si="4"/>
        <v>1628.7</v>
      </c>
      <c r="V15" s="441" t="str">
        <f t="shared" si="5"/>
        <v>EA</v>
      </c>
    </row>
    <row r="16" spans="1:24" x14ac:dyDescent="0.2">
      <c r="A16" s="431"/>
      <c r="B16" s="281"/>
      <c r="C16" s="432"/>
      <c r="D16" s="263"/>
      <c r="E16" s="263"/>
      <c r="F16" s="263"/>
      <c r="G16" s="434"/>
      <c r="H16" s="435"/>
      <c r="I16" s="436"/>
      <c r="J16" s="263"/>
      <c r="K16" s="263"/>
      <c r="L16" s="263"/>
      <c r="M16" s="263"/>
      <c r="N16" s="437"/>
      <c r="O16" s="434"/>
      <c r="P16" s="438"/>
      <c r="Q16" s="439"/>
      <c r="R16" s="434"/>
      <c r="S16" s="435"/>
      <c r="T16" s="478"/>
      <c r="U16" s="436"/>
      <c r="V16" s="441"/>
    </row>
    <row r="17" spans="1:22" ht="15" x14ac:dyDescent="0.25">
      <c r="A17" s="444"/>
      <c r="B17" s="281"/>
      <c r="C17" s="432" t="s">
        <v>250</v>
      </c>
      <c r="D17" s="575">
        <v>8</v>
      </c>
      <c r="E17" s="476">
        <f>'Doors and Windows'!I16+'Doors and Windows'!I17+'Doors and Windows'!I18+'Doors and Windows'!I19+'Doors and Windows'!I20</f>
        <v>17</v>
      </c>
      <c r="F17" s="263" t="s">
        <v>433</v>
      </c>
      <c r="G17" s="434">
        <v>361.56</v>
      </c>
      <c r="H17" s="435">
        <f t="shared" si="0"/>
        <v>6146.52</v>
      </c>
      <c r="I17" s="436" t="s">
        <v>491</v>
      </c>
      <c r="J17" s="263">
        <v>10</v>
      </c>
      <c r="K17" s="263">
        <f t="shared" si="1"/>
        <v>1.7</v>
      </c>
      <c r="L17" s="263">
        <f t="shared" si="2"/>
        <v>13.6</v>
      </c>
      <c r="M17" s="263" t="s">
        <v>473</v>
      </c>
      <c r="N17" s="437">
        <v>2</v>
      </c>
      <c r="O17" s="434">
        <v>22.05</v>
      </c>
      <c r="P17" s="438">
        <f>O17*N17*L17</f>
        <v>599.76</v>
      </c>
      <c r="Q17" s="439"/>
      <c r="R17" s="434"/>
      <c r="S17" s="435"/>
      <c r="T17" s="478">
        <f t="shared" si="3"/>
        <v>6746.2800000000007</v>
      </c>
      <c r="U17" s="436">
        <f t="shared" si="4"/>
        <v>396.84000000000003</v>
      </c>
      <c r="V17" s="441" t="str">
        <f t="shared" si="5"/>
        <v>ea</v>
      </c>
    </row>
    <row r="18" spans="1:22" ht="15" x14ac:dyDescent="0.25">
      <c r="A18" s="431"/>
      <c r="B18" s="281"/>
      <c r="C18" s="432" t="s">
        <v>572</v>
      </c>
      <c r="D18" s="575">
        <v>8</v>
      </c>
      <c r="E18" s="263">
        <f>'Doors and Windows'!I15</f>
        <v>26</v>
      </c>
      <c r="F18" s="263" t="s">
        <v>433</v>
      </c>
      <c r="G18" s="434">
        <v>1572</v>
      </c>
      <c r="H18" s="435">
        <f t="shared" si="0"/>
        <v>40872</v>
      </c>
      <c r="I18" s="436" t="s">
        <v>491</v>
      </c>
      <c r="J18" s="263">
        <v>10</v>
      </c>
      <c r="K18" s="263">
        <f t="shared" si="1"/>
        <v>2.6</v>
      </c>
      <c r="L18" s="263">
        <f t="shared" si="2"/>
        <v>20.8</v>
      </c>
      <c r="M18" s="263" t="s">
        <v>473</v>
      </c>
      <c r="N18" s="437">
        <v>2</v>
      </c>
      <c r="O18" s="434">
        <v>22.05</v>
      </c>
      <c r="P18" s="438">
        <f>O18*N18*L18</f>
        <v>917.28000000000009</v>
      </c>
      <c r="Q18" s="439"/>
      <c r="R18" s="434"/>
      <c r="S18" s="435"/>
      <c r="T18" s="478">
        <f t="shared" si="3"/>
        <v>41789.279999999999</v>
      </c>
      <c r="U18" s="436">
        <f t="shared" si="4"/>
        <v>1607.28</v>
      </c>
      <c r="V18" s="441" t="str">
        <f t="shared" si="5"/>
        <v>ea</v>
      </c>
    </row>
    <row r="19" spans="1:22" x14ac:dyDescent="0.2">
      <c r="A19" s="431"/>
      <c r="B19" s="281"/>
      <c r="C19" s="43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78"/>
      <c r="U19" s="436"/>
      <c r="V19" s="441"/>
    </row>
    <row r="20" spans="1:22" ht="15" x14ac:dyDescent="0.25">
      <c r="A20" s="444"/>
      <c r="B20" s="281"/>
      <c r="C20" s="432" t="s">
        <v>573</v>
      </c>
      <c r="D20" s="575">
        <v>8</v>
      </c>
      <c r="E20" s="263">
        <f>'Doors and Windows'!I12</f>
        <v>18</v>
      </c>
      <c r="F20" s="263" t="s">
        <v>574</v>
      </c>
      <c r="G20" s="434">
        <v>539.72</v>
      </c>
      <c r="H20" s="435">
        <f t="shared" si="0"/>
        <v>9714.9600000000009</v>
      </c>
      <c r="I20" s="436" t="s">
        <v>491</v>
      </c>
      <c r="J20" s="263">
        <v>8</v>
      </c>
      <c r="K20" s="263">
        <f t="shared" si="1"/>
        <v>2.25</v>
      </c>
      <c r="L20" s="263">
        <f t="shared" si="2"/>
        <v>18</v>
      </c>
      <c r="M20" s="263" t="s">
        <v>473</v>
      </c>
      <c r="N20" s="437">
        <v>2</v>
      </c>
      <c r="O20" s="434">
        <v>22.05</v>
      </c>
      <c r="P20" s="438">
        <f>O20*N20*L20</f>
        <v>793.80000000000007</v>
      </c>
      <c r="Q20" s="439"/>
      <c r="R20" s="434"/>
      <c r="S20" s="435"/>
      <c r="T20" s="478">
        <f t="shared" si="3"/>
        <v>10508.76</v>
      </c>
      <c r="U20" s="436">
        <f t="shared" si="4"/>
        <v>583.82000000000005</v>
      </c>
      <c r="V20" s="441" t="str">
        <f t="shared" si="5"/>
        <v>set</v>
      </c>
    </row>
    <row r="21" spans="1:22" x14ac:dyDescent="0.2">
      <c r="A21" s="431"/>
      <c r="B21" s="281"/>
      <c r="C21" s="43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43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x14ac:dyDescent="0.2">
      <c r="A23" s="431"/>
      <c r="B23" s="281"/>
      <c r="C23" s="43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43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43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43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43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43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43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43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x14ac:dyDescent="0.2">
      <c r="A31" s="431"/>
      <c r="B31" s="281"/>
      <c r="C31" s="43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43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43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43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43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43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43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43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43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43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44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SUM(H8:H41)</f>
        <v>68092.160000000003</v>
      </c>
      <c r="I42" s="462"/>
      <c r="J42" s="463"/>
      <c r="K42" s="461">
        <f>SUM(K8:K41)</f>
        <v>9.0852941176470594</v>
      </c>
      <c r="L42" s="461">
        <f>SUM(L8:L41)</f>
        <v>72.682352941176475</v>
      </c>
      <c r="M42" s="462"/>
      <c r="N42" s="464"/>
      <c r="O42" s="463"/>
      <c r="P42" s="461">
        <f>SUM(P8:P41)</f>
        <v>3205.2917647058825</v>
      </c>
      <c r="Q42" s="462"/>
      <c r="R42" s="463"/>
      <c r="S42" s="465">
        <f>SUM(S8:S41)</f>
        <v>0</v>
      </c>
      <c r="T42" s="461">
        <f>SUM(T8:T41)</f>
        <v>71297.451764705882</v>
      </c>
      <c r="U42" s="467" t="s">
        <v>397</v>
      </c>
      <c r="V42" s="468"/>
    </row>
    <row r="43" spans="1:22" x14ac:dyDescent="0.2">
      <c r="N43" s="470"/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'Doors and Windows'!A1" display="'Doors and Windows'!A1"/>
    <hyperlink ref="D11" location="'Doors and Windows'!A1" display="'Doors and Windows'!A1"/>
    <hyperlink ref="D13" location="'Doors and Windows'!A1" display="'Doors and Windows'!A1"/>
    <hyperlink ref="D15" location="'Doors and Windows'!A1" display="'Doors and Windows'!A1"/>
    <hyperlink ref="D17" location="'Doors and Windows'!A1" display="'Doors and Windows'!A1"/>
    <hyperlink ref="D18" location="'Doors and Windows'!A1" display="'Doors and Windows'!A1"/>
    <hyperlink ref="D20" location="'Doors and Windows'!A1" display="'Doors and Windows'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1"/>
  <sheetViews>
    <sheetView zoomScale="115" zoomScaleNormal="115" workbookViewId="0">
      <pane xSplit="14" ySplit="6" topLeftCell="O10" activePane="bottomRight" state="frozen"/>
      <selection pane="topRight" activeCell="O1" sqref="O1"/>
      <selection pane="bottomLeft" activeCell="A7" sqref="A7"/>
      <selection pane="bottomRight" activeCell="A23" sqref="A23:C23"/>
    </sheetView>
  </sheetViews>
  <sheetFormatPr defaultRowHeight="12.75" x14ac:dyDescent="0.2"/>
  <cols>
    <col min="1" max="3" width="9.140625" style="301"/>
    <col min="4" max="16384" width="9.140625" style="292"/>
  </cols>
  <sheetData>
    <row r="1" spans="1:18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713</v>
      </c>
      <c r="M1" s="620"/>
      <c r="N1" s="287"/>
      <c r="O1" s="302"/>
    </row>
    <row r="2" spans="1:18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8" x14ac:dyDescent="0.2">
      <c r="A3" s="303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</row>
    <row r="4" spans="1:18" x14ac:dyDescent="0.2">
      <c r="A4" s="710" t="s">
        <v>18</v>
      </c>
      <c r="B4" s="710"/>
      <c r="C4" s="710"/>
      <c r="D4" s="711" t="s">
        <v>806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</row>
    <row r="5" spans="1:18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313"/>
      <c r="Q5" s="314"/>
      <c r="R5" s="315"/>
    </row>
    <row r="6" spans="1:18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704" t="s">
        <v>40</v>
      </c>
      <c r="Q6" s="705"/>
      <c r="R6" s="706"/>
    </row>
    <row r="7" spans="1:18" x14ac:dyDescent="0.2">
      <c r="A7" s="593"/>
      <c r="B7" s="594"/>
      <c r="C7" s="595"/>
      <c r="D7" s="322"/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707"/>
      <c r="Q7" s="708"/>
      <c r="R7" s="709"/>
    </row>
    <row r="8" spans="1:18" ht="15" x14ac:dyDescent="0.25">
      <c r="A8" s="694" t="s">
        <v>271</v>
      </c>
      <c r="B8" s="695"/>
      <c r="C8" s="696"/>
      <c r="D8" s="564" t="s">
        <v>84</v>
      </c>
      <c r="E8" s="330"/>
      <c r="F8" s="331"/>
      <c r="G8" s="332"/>
      <c r="H8" s="333"/>
      <c r="I8" s="330"/>
      <c r="J8" s="24"/>
      <c r="K8" s="334"/>
      <c r="L8" s="333"/>
      <c r="M8" s="330"/>
      <c r="N8" s="333"/>
      <c r="O8" s="337"/>
      <c r="P8" s="671"/>
      <c r="Q8" s="672"/>
      <c r="R8" s="673"/>
    </row>
    <row r="9" spans="1:18" ht="15" x14ac:dyDescent="0.25">
      <c r="A9" s="668" t="s">
        <v>274</v>
      </c>
      <c r="B9" s="669"/>
      <c r="C9" s="670"/>
      <c r="D9" s="22"/>
      <c r="E9" s="330"/>
      <c r="F9" s="331"/>
      <c r="G9" s="332"/>
      <c r="H9" s="333"/>
      <c r="I9" s="330">
        <f>527+129+40+659+2192+586+193</f>
        <v>4326</v>
      </c>
      <c r="J9" s="333" t="s">
        <v>42</v>
      </c>
      <c r="K9" s="334"/>
      <c r="L9" s="333"/>
      <c r="M9" s="339">
        <f>527+129+40+659+2192+586+193</f>
        <v>4326</v>
      </c>
      <c r="N9" s="336" t="s">
        <v>42</v>
      </c>
      <c r="O9" s="570" t="s">
        <v>753</v>
      </c>
      <c r="P9" s="671" t="s">
        <v>273</v>
      </c>
      <c r="Q9" s="672"/>
      <c r="R9" s="673"/>
    </row>
    <row r="10" spans="1:18" x14ac:dyDescent="0.2">
      <c r="A10" s="668" t="s">
        <v>275</v>
      </c>
      <c r="B10" s="669"/>
      <c r="C10" s="670"/>
      <c r="D10" s="22"/>
      <c r="E10" s="330"/>
      <c r="F10" s="331"/>
      <c r="G10" s="332"/>
      <c r="H10" s="333"/>
      <c r="I10" s="330">
        <f>193+992+143+98+122+105+65+151</f>
        <v>1869</v>
      </c>
      <c r="J10" s="333" t="s">
        <v>42</v>
      </c>
      <c r="K10" s="334"/>
      <c r="L10" s="333"/>
      <c r="M10" s="339">
        <f>193+992+143+98+122+105+65+151</f>
        <v>1869</v>
      </c>
      <c r="N10" s="336" t="s">
        <v>42</v>
      </c>
      <c r="O10" s="337"/>
      <c r="P10" s="671" t="s">
        <v>272</v>
      </c>
      <c r="Q10" s="672"/>
      <c r="R10" s="673"/>
    </row>
    <row r="11" spans="1:18" x14ac:dyDescent="0.2">
      <c r="A11" s="668" t="s">
        <v>276</v>
      </c>
      <c r="B11" s="669"/>
      <c r="C11" s="670"/>
      <c r="D11" s="338"/>
      <c r="E11" s="330"/>
      <c r="F11" s="331"/>
      <c r="G11" s="332"/>
      <c r="H11" s="333"/>
      <c r="I11" s="330">
        <f>202+230</f>
        <v>432</v>
      </c>
      <c r="J11" s="333" t="s">
        <v>42</v>
      </c>
      <c r="K11" s="334"/>
      <c r="L11" s="333"/>
      <c r="M11" s="339">
        <f>202+230</f>
        <v>432</v>
      </c>
      <c r="N11" s="336" t="s">
        <v>42</v>
      </c>
      <c r="O11" s="337"/>
      <c r="P11" s="783">
        <v>111112</v>
      </c>
      <c r="Q11" s="669"/>
      <c r="R11" s="670"/>
    </row>
    <row r="12" spans="1:18" x14ac:dyDescent="0.2">
      <c r="A12" s="668" t="s">
        <v>277</v>
      </c>
      <c r="B12" s="669"/>
      <c r="C12" s="670"/>
      <c r="D12" s="338"/>
      <c r="E12" s="330"/>
      <c r="F12" s="331"/>
      <c r="G12" s="332"/>
      <c r="H12" s="333"/>
      <c r="I12" s="330">
        <v>379</v>
      </c>
      <c r="J12" s="333" t="s">
        <v>42</v>
      </c>
      <c r="K12" s="334"/>
      <c r="L12" s="333"/>
      <c r="M12" s="339">
        <v>379</v>
      </c>
      <c r="N12" s="336" t="s">
        <v>42</v>
      </c>
      <c r="O12" s="337"/>
      <c r="P12" s="668">
        <v>125</v>
      </c>
      <c r="Q12" s="669"/>
      <c r="R12" s="670"/>
    </row>
    <row r="13" spans="1:18" x14ac:dyDescent="0.2">
      <c r="A13" s="668" t="s">
        <v>278</v>
      </c>
      <c r="B13" s="669"/>
      <c r="C13" s="670"/>
      <c r="D13" s="338"/>
      <c r="E13" s="330">
        <v>92</v>
      </c>
      <c r="F13" s="331"/>
      <c r="G13" s="332">
        <v>8.5</v>
      </c>
      <c r="H13" s="333"/>
      <c r="I13" s="330">
        <f>G13*E13</f>
        <v>782</v>
      </c>
      <c r="J13" s="340" t="s">
        <v>42</v>
      </c>
      <c r="K13" s="334"/>
      <c r="L13" s="24"/>
      <c r="M13" s="339">
        <v>782</v>
      </c>
      <c r="N13" s="572" t="s">
        <v>42</v>
      </c>
      <c r="O13" s="337"/>
      <c r="P13" s="671"/>
      <c r="Q13" s="672"/>
      <c r="R13" s="673"/>
    </row>
    <row r="14" spans="1:18" x14ac:dyDescent="0.2">
      <c r="A14" s="668"/>
      <c r="B14" s="669"/>
      <c r="C14" s="670"/>
      <c r="D14" s="338"/>
      <c r="E14" s="330"/>
      <c r="F14" s="331"/>
      <c r="G14" s="332"/>
      <c r="H14" s="333"/>
      <c r="I14" s="330"/>
      <c r="J14" s="333"/>
      <c r="K14" s="60"/>
      <c r="L14" s="333"/>
      <c r="M14" s="341"/>
      <c r="N14" s="33"/>
      <c r="O14" s="283"/>
      <c r="P14" s="671"/>
      <c r="Q14" s="672"/>
      <c r="R14" s="673"/>
    </row>
    <row r="15" spans="1:18" x14ac:dyDescent="0.2">
      <c r="A15" s="668"/>
      <c r="B15" s="669"/>
      <c r="C15" s="670"/>
      <c r="D15" s="338"/>
      <c r="E15" s="330"/>
      <c r="F15" s="331"/>
      <c r="G15" s="332"/>
      <c r="H15" s="333"/>
      <c r="I15" s="330"/>
      <c r="J15" s="333"/>
      <c r="K15" s="334"/>
      <c r="L15" s="333"/>
      <c r="M15" s="343"/>
      <c r="N15" s="344"/>
      <c r="O15" s="337"/>
      <c r="P15" s="671"/>
      <c r="Q15" s="672"/>
      <c r="R15" s="673"/>
    </row>
    <row r="16" spans="1:18" ht="15" x14ac:dyDescent="0.25">
      <c r="A16" s="691" t="s">
        <v>279</v>
      </c>
      <c r="B16" s="692"/>
      <c r="C16" s="693"/>
      <c r="D16" s="564" t="s">
        <v>319</v>
      </c>
      <c r="E16" s="330"/>
      <c r="F16" s="331"/>
      <c r="G16" s="332"/>
      <c r="H16" s="333"/>
      <c r="I16" s="330">
        <f>129+113+47+31+1022</f>
        <v>1342</v>
      </c>
      <c r="J16" s="333" t="s">
        <v>42</v>
      </c>
      <c r="K16" s="334"/>
      <c r="L16" s="333"/>
      <c r="M16" s="339">
        <f>I16</f>
        <v>1342</v>
      </c>
      <c r="N16" s="336" t="s">
        <v>42</v>
      </c>
      <c r="O16" s="570" t="s">
        <v>754</v>
      </c>
      <c r="P16" s="671"/>
      <c r="Q16" s="672"/>
      <c r="R16" s="673"/>
    </row>
    <row r="17" spans="1:18" x14ac:dyDescent="0.2">
      <c r="A17" s="609"/>
      <c r="B17" s="610"/>
      <c r="C17" s="611"/>
      <c r="D17" s="338"/>
      <c r="E17" s="330"/>
      <c r="F17" s="331"/>
      <c r="G17" s="332"/>
      <c r="H17" s="333"/>
      <c r="I17" s="330"/>
      <c r="J17" s="333"/>
      <c r="K17" s="334"/>
      <c r="L17" s="333"/>
      <c r="M17" s="343"/>
      <c r="N17" s="344"/>
      <c r="O17" s="337"/>
      <c r="P17" s="671"/>
      <c r="Q17" s="672"/>
      <c r="R17" s="673"/>
    </row>
    <row r="18" spans="1:18" x14ac:dyDescent="0.2">
      <c r="A18" s="694" t="s">
        <v>280</v>
      </c>
      <c r="B18" s="695"/>
      <c r="C18" s="696"/>
      <c r="D18" s="22" t="s">
        <v>319</v>
      </c>
      <c r="E18" s="330"/>
      <c r="F18" s="331"/>
      <c r="G18" s="332"/>
      <c r="H18" s="333"/>
      <c r="I18" s="330"/>
      <c r="J18" s="24"/>
      <c r="K18" s="346"/>
      <c r="L18" s="24"/>
      <c r="M18" s="343"/>
      <c r="N18" s="344"/>
      <c r="O18" s="337"/>
      <c r="P18" s="671"/>
      <c r="Q18" s="672"/>
      <c r="R18" s="673"/>
    </row>
    <row r="19" spans="1:18" ht="15" x14ac:dyDescent="0.25">
      <c r="A19" s="668" t="s">
        <v>281</v>
      </c>
      <c r="B19" s="669"/>
      <c r="C19" s="670"/>
      <c r="D19" s="22"/>
      <c r="E19" s="330"/>
      <c r="F19" s="331"/>
      <c r="G19" s="332"/>
      <c r="H19" s="333"/>
      <c r="I19" s="330">
        <f>I16</f>
        <v>1342</v>
      </c>
      <c r="J19" s="333" t="s">
        <v>42</v>
      </c>
      <c r="K19" s="334"/>
      <c r="L19" s="333"/>
      <c r="M19" s="339">
        <f>M16</f>
        <v>1342</v>
      </c>
      <c r="N19" s="336" t="s">
        <v>42</v>
      </c>
      <c r="O19" s="570" t="s">
        <v>756</v>
      </c>
      <c r="P19" s="671"/>
      <c r="Q19" s="672"/>
      <c r="R19" s="673"/>
    </row>
    <row r="20" spans="1:18" x14ac:dyDescent="0.2">
      <c r="A20" s="668" t="s">
        <v>282</v>
      </c>
      <c r="B20" s="669"/>
      <c r="C20" s="670"/>
      <c r="D20" s="338"/>
      <c r="E20" s="330"/>
      <c r="F20" s="331"/>
      <c r="G20" s="332"/>
      <c r="H20" s="333"/>
      <c r="I20" s="485">
        <f>247+703+1761+1196+1053</f>
        <v>4960</v>
      </c>
      <c r="J20" s="333" t="s">
        <v>42</v>
      </c>
      <c r="K20" s="334"/>
      <c r="L20" s="333"/>
      <c r="M20" s="504">
        <f>247+703+1761+1196+1053</f>
        <v>4960</v>
      </c>
      <c r="N20" s="336" t="s">
        <v>42</v>
      </c>
      <c r="O20" s="337"/>
      <c r="P20" s="671"/>
      <c r="Q20" s="672"/>
      <c r="R20" s="673"/>
    </row>
    <row r="21" spans="1:18" x14ac:dyDescent="0.2">
      <c r="A21" s="609"/>
      <c r="B21" s="610"/>
      <c r="C21" s="611"/>
      <c r="D21" s="338"/>
      <c r="E21" s="330"/>
      <c r="F21" s="331"/>
      <c r="G21" s="332"/>
      <c r="H21" s="333"/>
      <c r="I21" s="330"/>
      <c r="J21" s="333"/>
      <c r="K21" s="334"/>
      <c r="L21" s="333"/>
      <c r="M21" s="343"/>
      <c r="N21" s="344"/>
      <c r="O21" s="337"/>
      <c r="P21" s="671"/>
      <c r="Q21" s="672"/>
      <c r="R21" s="673"/>
    </row>
    <row r="22" spans="1:18" x14ac:dyDescent="0.2">
      <c r="A22" s="668"/>
      <c r="B22" s="669"/>
      <c r="C22" s="670"/>
      <c r="D22" s="338"/>
      <c r="E22" s="330"/>
      <c r="F22" s="331"/>
      <c r="G22" s="332"/>
      <c r="H22" s="333"/>
      <c r="I22" s="330"/>
      <c r="J22" s="333"/>
      <c r="K22" s="334"/>
      <c r="L22" s="333"/>
      <c r="M22" s="343"/>
      <c r="N22" s="344"/>
      <c r="O22" s="337"/>
      <c r="P22" s="671"/>
      <c r="Q22" s="672"/>
      <c r="R22" s="673"/>
    </row>
    <row r="23" spans="1:18" ht="15" x14ac:dyDescent="0.25">
      <c r="A23" s="694" t="s">
        <v>807</v>
      </c>
      <c r="B23" s="695"/>
      <c r="C23" s="696"/>
      <c r="D23" s="564" t="s">
        <v>289</v>
      </c>
      <c r="E23" s="330"/>
      <c r="F23" s="331"/>
      <c r="G23" s="332"/>
      <c r="H23" s="333"/>
      <c r="I23" s="330"/>
      <c r="J23" s="333"/>
      <c r="K23" s="334"/>
      <c r="L23" s="333"/>
      <c r="M23" s="343"/>
      <c r="N23" s="344"/>
      <c r="O23" s="337"/>
      <c r="P23" s="671"/>
      <c r="Q23" s="672"/>
      <c r="R23" s="673"/>
    </row>
    <row r="24" spans="1:18" ht="15" x14ac:dyDescent="0.25">
      <c r="A24" s="686" t="s">
        <v>283</v>
      </c>
      <c r="B24" s="687"/>
      <c r="C24" s="688"/>
      <c r="D24" s="338"/>
      <c r="E24" s="330"/>
      <c r="F24" s="331"/>
      <c r="G24" s="332"/>
      <c r="H24" s="333"/>
      <c r="I24" s="330">
        <v>2029</v>
      </c>
      <c r="J24" s="333" t="s">
        <v>42</v>
      </c>
      <c r="K24" s="334"/>
      <c r="L24" s="333"/>
      <c r="M24" s="339">
        <f>I24</f>
        <v>2029</v>
      </c>
      <c r="N24" s="336" t="s">
        <v>42</v>
      </c>
      <c r="O24" s="570" t="s">
        <v>754</v>
      </c>
      <c r="P24" s="671" t="s">
        <v>290</v>
      </c>
      <c r="Q24" s="672"/>
      <c r="R24" s="673"/>
    </row>
    <row r="25" spans="1:18" x14ac:dyDescent="0.2">
      <c r="A25" s="690"/>
      <c r="B25" s="669"/>
      <c r="C25" s="670"/>
      <c r="D25" s="348"/>
      <c r="E25" s="330"/>
      <c r="F25" s="331"/>
      <c r="G25" s="332"/>
      <c r="H25" s="333"/>
      <c r="I25" s="347"/>
      <c r="J25" s="333"/>
      <c r="K25" s="334"/>
      <c r="L25" s="333"/>
      <c r="M25" s="343"/>
      <c r="N25" s="344"/>
      <c r="O25" s="337"/>
      <c r="P25" s="671"/>
      <c r="Q25" s="672"/>
      <c r="R25" s="673"/>
    </row>
    <row r="26" spans="1:18" ht="15" x14ac:dyDescent="0.25">
      <c r="A26" s="703" t="s">
        <v>755</v>
      </c>
      <c r="B26" s="695"/>
      <c r="C26" s="696"/>
      <c r="D26" s="565" t="s">
        <v>319</v>
      </c>
      <c r="E26" s="330"/>
      <c r="F26" s="331"/>
      <c r="G26" s="332"/>
      <c r="H26" s="333"/>
      <c r="I26" s="330">
        <f>122+26+149+89+37</f>
        <v>423</v>
      </c>
      <c r="J26" s="333" t="s">
        <v>42</v>
      </c>
      <c r="K26" s="334"/>
      <c r="L26" s="333"/>
      <c r="M26" s="339">
        <f>I26</f>
        <v>423</v>
      </c>
      <c r="N26" s="336" t="s">
        <v>42</v>
      </c>
      <c r="O26" s="570" t="s">
        <v>747</v>
      </c>
      <c r="P26" s="671"/>
      <c r="Q26" s="672"/>
      <c r="R26" s="673"/>
    </row>
    <row r="27" spans="1:18" x14ac:dyDescent="0.2">
      <c r="A27" s="690"/>
      <c r="B27" s="669"/>
      <c r="C27" s="670"/>
      <c r="D27" s="348"/>
      <c r="E27" s="330"/>
      <c r="F27" s="331"/>
      <c r="G27" s="332"/>
      <c r="H27" s="333"/>
      <c r="I27" s="330"/>
      <c r="J27" s="333"/>
      <c r="K27" s="334"/>
      <c r="L27" s="333"/>
      <c r="M27" s="343"/>
      <c r="N27" s="344"/>
      <c r="O27" s="337"/>
      <c r="P27" s="671"/>
      <c r="Q27" s="672"/>
      <c r="R27" s="673"/>
    </row>
    <row r="28" spans="1:18" ht="15" x14ac:dyDescent="0.25">
      <c r="A28" s="703" t="s">
        <v>322</v>
      </c>
      <c r="B28" s="695"/>
      <c r="C28" s="696"/>
      <c r="D28" s="565" t="s">
        <v>736</v>
      </c>
      <c r="E28" s="330"/>
      <c r="F28" s="331"/>
      <c r="G28" s="332"/>
      <c r="H28" s="333"/>
      <c r="I28" s="330">
        <f>1305+2015</f>
        <v>3320</v>
      </c>
      <c r="J28" s="333" t="s">
        <v>42</v>
      </c>
      <c r="K28" s="334"/>
      <c r="L28" s="333"/>
      <c r="M28" s="339">
        <f>I28</f>
        <v>3320</v>
      </c>
      <c r="N28" s="336" t="s">
        <v>42</v>
      </c>
      <c r="O28" s="570" t="s">
        <v>754</v>
      </c>
      <c r="P28" s="671"/>
      <c r="Q28" s="672"/>
      <c r="R28" s="673"/>
    </row>
    <row r="29" spans="1:18" x14ac:dyDescent="0.2">
      <c r="A29" s="690"/>
      <c r="B29" s="669"/>
      <c r="C29" s="670"/>
      <c r="D29" s="348"/>
      <c r="E29" s="330"/>
      <c r="F29" s="331"/>
      <c r="G29" s="332"/>
      <c r="H29" s="333"/>
      <c r="I29" s="330"/>
      <c r="J29" s="333"/>
      <c r="K29" s="334"/>
      <c r="L29" s="333"/>
      <c r="M29" s="343"/>
      <c r="N29" s="344"/>
      <c r="O29" s="337"/>
      <c r="P29" s="671"/>
      <c r="Q29" s="672"/>
      <c r="R29" s="673"/>
    </row>
    <row r="30" spans="1:18" ht="15" x14ac:dyDescent="0.25">
      <c r="A30" s="703" t="s">
        <v>324</v>
      </c>
      <c r="B30" s="695"/>
      <c r="C30" s="696"/>
      <c r="D30" s="565" t="s">
        <v>93</v>
      </c>
      <c r="E30" s="330"/>
      <c r="F30" s="331"/>
      <c r="G30" s="332"/>
      <c r="H30" s="333"/>
      <c r="I30" s="330">
        <v>29</v>
      </c>
      <c r="J30" s="333" t="s">
        <v>45</v>
      </c>
      <c r="K30" s="334"/>
      <c r="L30" s="333"/>
      <c r="M30" s="339">
        <f>I30</f>
        <v>29</v>
      </c>
      <c r="N30" s="336" t="s">
        <v>42</v>
      </c>
      <c r="O30" s="570" t="s">
        <v>747</v>
      </c>
      <c r="P30" s="671"/>
      <c r="Q30" s="672"/>
      <c r="R30" s="673"/>
    </row>
    <row r="31" spans="1:18" x14ac:dyDescent="0.2">
      <c r="A31" s="690"/>
      <c r="B31" s="669"/>
      <c r="C31" s="670"/>
      <c r="D31" s="348"/>
      <c r="E31" s="330"/>
      <c r="F31" s="331"/>
      <c r="G31" s="332"/>
      <c r="H31" s="333"/>
      <c r="I31" s="330"/>
      <c r="J31" s="333"/>
      <c r="K31" s="334"/>
      <c r="L31" s="333"/>
      <c r="M31" s="343"/>
      <c r="N31" s="344"/>
      <c r="O31" s="337"/>
      <c r="P31" s="671"/>
      <c r="Q31" s="672"/>
      <c r="R31" s="673"/>
    </row>
    <row r="32" spans="1:18" x14ac:dyDescent="0.2">
      <c r="A32" s="619"/>
      <c r="B32" s="620"/>
      <c r="C32" s="621"/>
      <c r="D32" s="338"/>
      <c r="E32" s="330"/>
      <c r="F32" s="331"/>
      <c r="G32" s="332"/>
      <c r="H32" s="333"/>
      <c r="I32" s="330"/>
      <c r="J32" s="333"/>
      <c r="K32" s="334"/>
      <c r="L32" s="333"/>
      <c r="M32" s="343"/>
      <c r="N32" s="344"/>
      <c r="O32" s="337"/>
      <c r="P32" s="671"/>
      <c r="Q32" s="672"/>
      <c r="R32" s="673"/>
    </row>
    <row r="33" spans="1:18" x14ac:dyDescent="0.2">
      <c r="A33" s="668"/>
      <c r="B33" s="669"/>
      <c r="C33" s="670"/>
      <c r="D33" s="22"/>
      <c r="E33" s="330"/>
      <c r="F33" s="331"/>
      <c r="G33" s="332"/>
      <c r="H33" s="333"/>
      <c r="I33" s="330"/>
      <c r="J33" s="333"/>
      <c r="K33" s="334"/>
      <c r="L33" s="333"/>
      <c r="M33" s="343"/>
      <c r="N33" s="344"/>
      <c r="O33" s="337"/>
      <c r="P33" s="671"/>
      <c r="Q33" s="672"/>
      <c r="R33" s="673"/>
    </row>
    <row r="34" spans="1:18" x14ac:dyDescent="0.2">
      <c r="A34" s="668"/>
      <c r="B34" s="669"/>
      <c r="C34" s="670"/>
      <c r="D34" s="338"/>
      <c r="E34" s="330"/>
      <c r="F34" s="331"/>
      <c r="G34" s="332"/>
      <c r="H34" s="333"/>
      <c r="I34" s="330"/>
      <c r="J34" s="333"/>
      <c r="K34" s="334"/>
      <c r="L34" s="24"/>
      <c r="M34" s="343"/>
      <c r="N34" s="344"/>
      <c r="O34" s="337"/>
      <c r="P34" s="671"/>
      <c r="Q34" s="672"/>
      <c r="R34" s="673"/>
    </row>
    <row r="35" spans="1:18" x14ac:dyDescent="0.2">
      <c r="A35" s="668"/>
      <c r="B35" s="669"/>
      <c r="C35" s="670"/>
      <c r="D35" s="338"/>
      <c r="E35" s="330"/>
      <c r="F35" s="331"/>
      <c r="G35" s="332"/>
      <c r="H35" s="333"/>
      <c r="I35" s="330"/>
      <c r="J35" s="333"/>
      <c r="K35" s="60"/>
      <c r="L35" s="333"/>
      <c r="M35" s="341"/>
      <c r="N35" s="33"/>
      <c r="O35" s="337"/>
      <c r="P35" s="671"/>
      <c r="Q35" s="672"/>
      <c r="R35" s="673"/>
    </row>
    <row r="36" spans="1:18" x14ac:dyDescent="0.2">
      <c r="A36" s="668"/>
      <c r="B36" s="669"/>
      <c r="C36" s="670"/>
      <c r="D36" s="338"/>
      <c r="E36" s="330"/>
      <c r="F36" s="331"/>
      <c r="G36" s="332"/>
      <c r="H36" s="333"/>
      <c r="I36" s="330"/>
      <c r="J36" s="333"/>
      <c r="K36" s="334"/>
      <c r="L36" s="333"/>
      <c r="M36" s="343"/>
      <c r="N36" s="344"/>
      <c r="O36" s="337"/>
      <c r="P36" s="671"/>
      <c r="Q36" s="672"/>
      <c r="R36" s="673"/>
    </row>
    <row r="37" spans="1:18" x14ac:dyDescent="0.2">
      <c r="A37" s="612"/>
      <c r="B37" s="613"/>
      <c r="C37" s="614"/>
      <c r="D37" s="338"/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671"/>
      <c r="Q37" s="672"/>
      <c r="R37" s="673"/>
    </row>
    <row r="38" spans="1:18" x14ac:dyDescent="0.2">
      <c r="A38" s="609"/>
      <c r="B38" s="610"/>
      <c r="C38" s="611"/>
      <c r="D38" s="338"/>
      <c r="E38" s="330"/>
      <c r="F38" s="331"/>
      <c r="G38" s="332"/>
      <c r="H38" s="333"/>
      <c r="I38" s="330"/>
      <c r="J38" s="333"/>
      <c r="K38" s="334"/>
      <c r="L38" s="333"/>
      <c r="M38" s="343"/>
      <c r="N38" s="344"/>
      <c r="O38" s="337"/>
      <c r="P38" s="671"/>
      <c r="Q38" s="672"/>
      <c r="R38" s="673"/>
    </row>
    <row r="39" spans="1:18" x14ac:dyDescent="0.2">
      <c r="A39" s="668"/>
      <c r="B39" s="669"/>
      <c r="C39" s="670"/>
      <c r="D39" s="338"/>
      <c r="E39" s="330"/>
      <c r="F39" s="331"/>
      <c r="G39" s="332"/>
      <c r="H39" s="333"/>
      <c r="I39" s="347"/>
      <c r="J39" s="333"/>
      <c r="K39" s="334"/>
      <c r="L39" s="333"/>
      <c r="M39" s="343"/>
      <c r="N39" s="344"/>
      <c r="O39" s="337"/>
      <c r="P39" s="671"/>
      <c r="Q39" s="672"/>
      <c r="R39" s="673"/>
    </row>
    <row r="40" spans="1:18" x14ac:dyDescent="0.2">
      <c r="A40" s="668"/>
      <c r="B40" s="669"/>
      <c r="C40" s="670"/>
      <c r="D40" s="338"/>
      <c r="E40" s="330"/>
      <c r="F40" s="331"/>
      <c r="G40" s="332"/>
      <c r="H40" s="333"/>
      <c r="I40" s="330"/>
      <c r="J40" s="333"/>
      <c r="K40" s="334"/>
      <c r="L40" s="333"/>
      <c r="M40" s="343"/>
      <c r="N40" s="344"/>
      <c r="O40" s="337"/>
      <c r="P40" s="671"/>
      <c r="Q40" s="672"/>
      <c r="R40" s="673"/>
    </row>
    <row r="41" spans="1:18" x14ac:dyDescent="0.2">
      <c r="A41" s="609"/>
      <c r="B41" s="610"/>
      <c r="C41" s="611"/>
      <c r="D41" s="338"/>
      <c r="E41" s="330"/>
      <c r="F41" s="331"/>
      <c r="G41" s="332"/>
      <c r="H41" s="333"/>
      <c r="I41" s="330"/>
      <c r="J41" s="333"/>
      <c r="K41" s="334"/>
      <c r="L41" s="333"/>
      <c r="M41" s="343"/>
      <c r="N41" s="344"/>
      <c r="O41" s="337"/>
      <c r="P41" s="671"/>
      <c r="Q41" s="672"/>
      <c r="R41" s="673"/>
    </row>
    <row r="42" spans="1:18" x14ac:dyDescent="0.2">
      <c r="A42" s="668"/>
      <c r="B42" s="669"/>
      <c r="C42" s="670"/>
      <c r="D42" s="338"/>
      <c r="E42" s="330"/>
      <c r="F42" s="331"/>
      <c r="G42" s="332"/>
      <c r="H42" s="333"/>
      <c r="I42" s="347"/>
      <c r="J42" s="333"/>
      <c r="K42" s="334"/>
      <c r="L42" s="333"/>
      <c r="M42" s="343"/>
      <c r="N42" s="344"/>
      <c r="O42" s="337"/>
      <c r="P42" s="671"/>
      <c r="Q42" s="672"/>
      <c r="R42" s="673"/>
    </row>
    <row r="43" spans="1:18" x14ac:dyDescent="0.2">
      <c r="A43" s="668"/>
      <c r="B43" s="669"/>
      <c r="C43" s="670"/>
      <c r="D43" s="338"/>
      <c r="E43" s="330"/>
      <c r="F43" s="331"/>
      <c r="G43" s="332"/>
      <c r="H43" s="333"/>
      <c r="I43" s="347"/>
      <c r="J43" s="333"/>
      <c r="K43" s="334"/>
      <c r="L43" s="333"/>
      <c r="M43" s="343"/>
      <c r="N43" s="344"/>
      <c r="O43" s="337"/>
      <c r="P43" s="671"/>
      <c r="Q43" s="672"/>
      <c r="R43" s="673"/>
    </row>
    <row r="44" spans="1:18" x14ac:dyDescent="0.2">
      <c r="A44" s="668"/>
      <c r="B44" s="669"/>
      <c r="C44" s="670"/>
      <c r="D44" s="338"/>
      <c r="E44" s="330"/>
      <c r="F44" s="331"/>
      <c r="G44" s="332"/>
      <c r="H44" s="333"/>
      <c r="I44" s="347"/>
      <c r="J44" s="333"/>
      <c r="K44" s="334"/>
      <c r="L44" s="333"/>
      <c r="M44" s="343"/>
      <c r="N44" s="344"/>
      <c r="O44" s="337"/>
      <c r="P44" s="671"/>
      <c r="Q44" s="672"/>
      <c r="R44" s="673"/>
    </row>
    <row r="45" spans="1:18" x14ac:dyDescent="0.2">
      <c r="A45" s="609"/>
      <c r="B45" s="610"/>
      <c r="C45" s="611"/>
      <c r="D45" s="338"/>
      <c r="E45" s="330"/>
      <c r="F45" s="331"/>
      <c r="G45" s="332"/>
      <c r="H45" s="333"/>
      <c r="I45" s="330"/>
      <c r="J45" s="333"/>
      <c r="K45" s="334"/>
      <c r="L45" s="333"/>
      <c r="M45" s="343"/>
      <c r="N45" s="344"/>
      <c r="O45" s="337"/>
      <c r="P45" s="671"/>
      <c r="Q45" s="672"/>
      <c r="R45" s="673"/>
    </row>
    <row r="46" spans="1:18" x14ac:dyDescent="0.2">
      <c r="A46" s="668"/>
      <c r="B46" s="669"/>
      <c r="C46" s="670"/>
      <c r="D46" s="338"/>
      <c r="E46" s="330"/>
      <c r="F46" s="331"/>
      <c r="G46" s="332"/>
      <c r="H46" s="333"/>
      <c r="I46" s="347"/>
      <c r="J46" s="24"/>
      <c r="K46" s="334"/>
      <c r="L46" s="333"/>
      <c r="M46" s="343"/>
      <c r="N46" s="344"/>
      <c r="O46" s="337"/>
      <c r="P46" s="671"/>
      <c r="Q46" s="672"/>
      <c r="R46" s="673"/>
    </row>
    <row r="47" spans="1:18" x14ac:dyDescent="0.2">
      <c r="A47" s="668"/>
      <c r="B47" s="669"/>
      <c r="C47" s="670"/>
      <c r="D47" s="338"/>
      <c r="E47" s="330"/>
      <c r="F47" s="331"/>
      <c r="G47" s="332"/>
      <c r="H47" s="333"/>
      <c r="I47" s="347"/>
      <c r="J47" s="333"/>
      <c r="K47" s="334"/>
      <c r="L47" s="333"/>
      <c r="M47" s="343"/>
      <c r="N47" s="344"/>
      <c r="O47" s="337"/>
      <c r="P47" s="671"/>
      <c r="Q47" s="672"/>
      <c r="R47" s="673"/>
    </row>
    <row r="48" spans="1:18" x14ac:dyDescent="0.2">
      <c r="A48" s="668"/>
      <c r="B48" s="669"/>
      <c r="C48" s="670"/>
      <c r="D48" s="338"/>
      <c r="E48" s="330"/>
      <c r="F48" s="331"/>
      <c r="G48" s="332"/>
      <c r="H48" s="333"/>
      <c r="I48" s="347"/>
      <c r="J48" s="333"/>
      <c r="K48" s="334"/>
      <c r="L48" s="333"/>
      <c r="M48" s="343"/>
      <c r="N48" s="344"/>
      <c r="O48" s="337"/>
      <c r="P48" s="671"/>
      <c r="Q48" s="672"/>
      <c r="R48" s="673"/>
    </row>
    <row r="49" spans="1:18" x14ac:dyDescent="0.2">
      <c r="A49" s="668"/>
      <c r="B49" s="669"/>
      <c r="C49" s="670"/>
      <c r="D49" s="338"/>
      <c r="E49" s="330"/>
      <c r="F49" s="331"/>
      <c r="G49" s="332"/>
      <c r="H49" s="333"/>
      <c r="I49" s="347"/>
      <c r="J49" s="333"/>
      <c r="K49" s="334"/>
      <c r="L49" s="333"/>
      <c r="M49" s="343"/>
      <c r="N49" s="344"/>
      <c r="O49" s="337"/>
      <c r="P49" s="671"/>
      <c r="Q49" s="672"/>
      <c r="R49" s="673"/>
    </row>
    <row r="50" spans="1:18" x14ac:dyDescent="0.2">
      <c r="A50" s="668"/>
      <c r="B50" s="669"/>
      <c r="C50" s="670"/>
      <c r="D50" s="338"/>
      <c r="E50" s="330"/>
      <c r="F50" s="331"/>
      <c r="G50" s="281"/>
      <c r="H50" s="333"/>
      <c r="I50" s="347"/>
      <c r="J50" s="333"/>
      <c r="K50" s="334"/>
      <c r="L50" s="333"/>
      <c r="M50" s="343"/>
      <c r="N50" s="344"/>
      <c r="O50" s="337"/>
      <c r="P50" s="671"/>
      <c r="Q50" s="672"/>
      <c r="R50" s="673"/>
    </row>
    <row r="51" spans="1:18" x14ac:dyDescent="0.2">
      <c r="A51" s="609"/>
      <c r="B51" s="610"/>
      <c r="C51" s="611"/>
      <c r="D51" s="338"/>
      <c r="E51" s="330"/>
      <c r="F51" s="331"/>
      <c r="G51" s="332"/>
      <c r="H51" s="333"/>
      <c r="I51" s="330"/>
      <c r="J51" s="333"/>
      <c r="K51" s="334"/>
      <c r="L51" s="333"/>
      <c r="M51" s="343"/>
      <c r="N51" s="344"/>
      <c r="O51" s="337"/>
      <c r="P51" s="671"/>
      <c r="Q51" s="672"/>
      <c r="R51" s="673"/>
    </row>
    <row r="52" spans="1:18" x14ac:dyDescent="0.2">
      <c r="A52" s="668"/>
      <c r="B52" s="669"/>
      <c r="C52" s="670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671"/>
      <c r="Q52" s="672"/>
      <c r="R52" s="673"/>
    </row>
    <row r="53" spans="1:18" x14ac:dyDescent="0.2">
      <c r="A53" s="668"/>
      <c r="B53" s="669"/>
      <c r="C53" s="670"/>
      <c r="D53" s="338"/>
      <c r="E53" s="330"/>
      <c r="F53" s="331"/>
      <c r="G53" s="332"/>
      <c r="H53" s="333"/>
      <c r="I53" s="330"/>
      <c r="J53" s="333"/>
      <c r="K53" s="349"/>
      <c r="L53" s="24"/>
      <c r="M53" s="343"/>
      <c r="N53" s="344"/>
      <c r="O53" s="337"/>
      <c r="P53" s="671"/>
      <c r="Q53" s="672"/>
      <c r="R53" s="673"/>
    </row>
    <row r="54" spans="1:18" x14ac:dyDescent="0.2">
      <c r="A54" s="668"/>
      <c r="B54" s="669"/>
      <c r="C54" s="670"/>
      <c r="D54" s="338"/>
      <c r="E54" s="330"/>
      <c r="F54" s="331"/>
      <c r="G54" s="332"/>
      <c r="H54" s="333"/>
      <c r="I54" s="330"/>
      <c r="J54" s="333"/>
      <c r="K54" s="60"/>
      <c r="L54" s="333"/>
      <c r="M54" s="341"/>
      <c r="N54" s="33"/>
      <c r="O54" s="337"/>
      <c r="P54" s="671"/>
      <c r="Q54" s="672"/>
      <c r="R54" s="673"/>
    </row>
    <row r="55" spans="1:18" x14ac:dyDescent="0.2">
      <c r="A55" s="668"/>
      <c r="B55" s="669"/>
      <c r="C55" s="670"/>
      <c r="D55" s="338"/>
      <c r="E55" s="330"/>
      <c r="F55" s="331"/>
      <c r="G55" s="332"/>
      <c r="H55" s="333"/>
      <c r="I55" s="330"/>
      <c r="J55" s="333"/>
      <c r="K55" s="334"/>
      <c r="L55" s="333"/>
      <c r="M55" s="343"/>
      <c r="N55" s="344"/>
      <c r="O55" s="337"/>
      <c r="P55" s="671"/>
      <c r="Q55" s="672"/>
      <c r="R55" s="673"/>
    </row>
    <row r="56" spans="1:18" x14ac:dyDescent="0.2">
      <c r="A56" s="612"/>
      <c r="B56" s="613"/>
      <c r="C56" s="614"/>
      <c r="D56" s="338"/>
      <c r="E56" s="330"/>
      <c r="F56" s="331"/>
      <c r="G56" s="332"/>
      <c r="H56" s="333"/>
      <c r="I56" s="330"/>
      <c r="J56" s="333"/>
      <c r="K56" s="334"/>
      <c r="L56" s="333"/>
      <c r="M56" s="343"/>
      <c r="N56" s="344"/>
      <c r="O56" s="337"/>
      <c r="P56" s="671"/>
      <c r="Q56" s="672"/>
      <c r="R56" s="673"/>
    </row>
    <row r="57" spans="1:18" x14ac:dyDescent="0.2">
      <c r="A57" s="668"/>
      <c r="B57" s="669"/>
      <c r="C57" s="670"/>
      <c r="D57" s="22"/>
      <c r="E57" s="330"/>
      <c r="F57" s="331"/>
      <c r="G57" s="332"/>
      <c r="H57" s="333"/>
      <c r="I57" s="330"/>
      <c r="J57" s="24"/>
      <c r="K57" s="334"/>
      <c r="L57" s="333"/>
      <c r="M57" s="343"/>
      <c r="N57" s="344"/>
      <c r="O57" s="337"/>
      <c r="P57" s="671"/>
      <c r="Q57" s="672"/>
      <c r="R57" s="673"/>
    </row>
    <row r="58" spans="1:18" x14ac:dyDescent="0.2">
      <c r="A58" s="668"/>
      <c r="B58" s="669"/>
      <c r="C58" s="670"/>
      <c r="D58" s="338"/>
      <c r="E58" s="330"/>
      <c r="F58" s="331"/>
      <c r="G58" s="332"/>
      <c r="H58" s="333"/>
      <c r="I58" s="347"/>
      <c r="J58" s="333"/>
      <c r="K58" s="334"/>
      <c r="L58" s="333"/>
      <c r="M58" s="343"/>
      <c r="N58" s="344"/>
      <c r="O58" s="337"/>
      <c r="P58" s="671"/>
      <c r="Q58" s="672"/>
      <c r="R58" s="673"/>
    </row>
    <row r="59" spans="1:18" x14ac:dyDescent="0.2">
      <c r="A59" s="668"/>
      <c r="B59" s="669"/>
      <c r="C59" s="670"/>
      <c r="D59" s="338"/>
      <c r="E59" s="330"/>
      <c r="F59" s="331"/>
      <c r="G59" s="332"/>
      <c r="H59" s="333"/>
      <c r="I59" s="330"/>
      <c r="J59" s="333"/>
      <c r="K59" s="349"/>
      <c r="L59" s="24"/>
      <c r="M59" s="343"/>
      <c r="N59" s="344"/>
      <c r="O59" s="337"/>
      <c r="P59" s="671"/>
      <c r="Q59" s="672"/>
      <c r="R59" s="673"/>
    </row>
    <row r="60" spans="1:18" x14ac:dyDescent="0.2">
      <c r="A60" s="689"/>
      <c r="B60" s="689"/>
      <c r="C60" s="690"/>
      <c r="D60" s="350"/>
      <c r="E60" s="334"/>
      <c r="F60" s="331"/>
      <c r="G60" s="331"/>
      <c r="H60" s="340"/>
      <c r="I60" s="334"/>
      <c r="J60" s="340"/>
      <c r="K60" s="60"/>
      <c r="L60" s="340"/>
      <c r="M60" s="351"/>
      <c r="N60" s="65"/>
      <c r="O60" s="352"/>
      <c r="P60" s="671"/>
      <c r="Q60" s="672"/>
      <c r="R60" s="673"/>
    </row>
    <row r="61" spans="1:18" x14ac:dyDescent="0.2">
      <c r="A61" s="680"/>
      <c r="B61" s="681"/>
      <c r="C61" s="682"/>
      <c r="D61" s="63"/>
      <c r="E61" s="323"/>
      <c r="F61" s="324"/>
      <c r="G61" s="325"/>
      <c r="H61" s="326"/>
      <c r="I61" s="323"/>
      <c r="J61" s="326"/>
      <c r="K61" s="353"/>
      <c r="L61" s="326"/>
      <c r="M61" s="323"/>
      <c r="N61" s="326"/>
      <c r="O61" s="329"/>
      <c r="P61" s="671"/>
      <c r="Q61" s="672"/>
      <c r="R61" s="673"/>
    </row>
    <row r="62" spans="1:18" x14ac:dyDescent="0.2">
      <c r="A62" s="668"/>
      <c r="B62" s="669"/>
      <c r="C62" s="670"/>
      <c r="D62" s="338"/>
      <c r="E62" s="330"/>
      <c r="F62" s="331"/>
      <c r="G62" s="332"/>
      <c r="H62" s="333"/>
      <c r="I62" s="330"/>
      <c r="J62" s="333"/>
      <c r="K62" s="334"/>
      <c r="L62" s="333"/>
      <c r="M62" s="330"/>
      <c r="N62" s="333"/>
      <c r="O62" s="337"/>
      <c r="P62" s="671"/>
      <c r="Q62" s="672"/>
      <c r="R62" s="673"/>
    </row>
    <row r="63" spans="1:18" x14ac:dyDescent="0.2">
      <c r="A63" s="668"/>
      <c r="B63" s="669"/>
      <c r="C63" s="670"/>
      <c r="D63" s="338"/>
      <c r="E63" s="330"/>
      <c r="F63" s="331"/>
      <c r="G63" s="332"/>
      <c r="H63" s="333"/>
      <c r="I63" s="330"/>
      <c r="J63" s="333"/>
      <c r="K63" s="334"/>
      <c r="L63" s="333"/>
      <c r="M63" s="330"/>
      <c r="N63" s="333"/>
      <c r="O63" s="337"/>
      <c r="P63" s="671"/>
      <c r="Q63" s="672"/>
      <c r="R63" s="673"/>
    </row>
    <row r="64" spans="1:18" x14ac:dyDescent="0.2">
      <c r="A64" s="668"/>
      <c r="B64" s="669"/>
      <c r="C64" s="670"/>
      <c r="D64" s="338"/>
      <c r="E64" s="330"/>
      <c r="F64" s="331"/>
      <c r="G64" s="332"/>
      <c r="H64" s="333"/>
      <c r="I64" s="330"/>
      <c r="J64" s="333"/>
      <c r="K64" s="334"/>
      <c r="L64" s="24"/>
      <c r="M64" s="330"/>
      <c r="N64" s="333"/>
      <c r="O64" s="337"/>
      <c r="P64" s="671"/>
      <c r="Q64" s="672"/>
      <c r="R64" s="673"/>
    </row>
    <row r="65" spans="1:18" x14ac:dyDescent="0.2">
      <c r="A65" s="668"/>
      <c r="B65" s="669"/>
      <c r="C65" s="670"/>
      <c r="D65" s="338"/>
      <c r="E65" s="330"/>
      <c r="F65" s="331"/>
      <c r="G65" s="332"/>
      <c r="H65" s="333"/>
      <c r="I65" s="330"/>
      <c r="J65" s="333"/>
      <c r="K65" s="60"/>
      <c r="L65" s="333"/>
      <c r="M65" s="341"/>
      <c r="N65" s="33"/>
      <c r="O65" s="283"/>
      <c r="P65" s="671"/>
      <c r="Q65" s="672"/>
      <c r="R65" s="673"/>
    </row>
    <row r="66" spans="1:18" x14ac:dyDescent="0.2">
      <c r="A66" s="668"/>
      <c r="B66" s="669"/>
      <c r="C66" s="670"/>
      <c r="D66" s="338"/>
      <c r="E66" s="330"/>
      <c r="F66" s="331"/>
      <c r="G66" s="332"/>
      <c r="H66" s="333"/>
      <c r="I66" s="330"/>
      <c r="J66" s="333"/>
      <c r="K66" s="334"/>
      <c r="L66" s="333"/>
      <c r="M66" s="343"/>
      <c r="N66" s="344"/>
      <c r="O66" s="337"/>
      <c r="P66" s="671"/>
      <c r="Q66" s="672"/>
      <c r="R66" s="673"/>
    </row>
    <row r="67" spans="1:18" x14ac:dyDescent="0.2">
      <c r="A67" s="612"/>
      <c r="B67" s="613"/>
      <c r="C67" s="614"/>
      <c r="D67" s="338"/>
      <c r="E67" s="330"/>
      <c r="F67" s="331"/>
      <c r="G67" s="332"/>
      <c r="H67" s="333"/>
      <c r="I67" s="330"/>
      <c r="J67" s="333"/>
      <c r="K67" s="334"/>
      <c r="L67" s="333"/>
      <c r="M67" s="343"/>
      <c r="N67" s="344"/>
      <c r="O67" s="337"/>
      <c r="P67" s="671"/>
      <c r="Q67" s="672"/>
      <c r="R67" s="673"/>
    </row>
    <row r="68" spans="1:18" x14ac:dyDescent="0.2">
      <c r="A68" s="609"/>
      <c r="B68" s="610"/>
      <c r="C68" s="611"/>
      <c r="D68" s="338"/>
      <c r="E68" s="330"/>
      <c r="F68" s="331"/>
      <c r="G68" s="332"/>
      <c r="H68" s="333"/>
      <c r="I68" s="330"/>
      <c r="J68" s="333"/>
      <c r="K68" s="334"/>
      <c r="L68" s="333"/>
      <c r="M68" s="343"/>
      <c r="N68" s="344"/>
      <c r="O68" s="337"/>
      <c r="P68" s="671"/>
      <c r="Q68" s="672"/>
      <c r="R68" s="673"/>
    </row>
    <row r="69" spans="1:18" x14ac:dyDescent="0.2">
      <c r="A69" s="668"/>
      <c r="B69" s="669"/>
      <c r="C69" s="670"/>
      <c r="D69" s="22"/>
      <c r="E69" s="330"/>
      <c r="F69" s="331"/>
      <c r="G69" s="332"/>
      <c r="H69" s="333"/>
      <c r="I69" s="330"/>
      <c r="J69" s="24"/>
      <c r="K69" s="346"/>
      <c r="L69" s="24"/>
      <c r="M69" s="343"/>
      <c r="N69" s="344"/>
      <c r="O69" s="337"/>
      <c r="P69" s="671"/>
      <c r="Q69" s="672"/>
      <c r="R69" s="673"/>
    </row>
    <row r="70" spans="1:18" x14ac:dyDescent="0.2">
      <c r="A70" s="668"/>
      <c r="B70" s="669"/>
      <c r="C70" s="670"/>
      <c r="D70" s="22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671"/>
      <c r="Q70" s="672"/>
      <c r="R70" s="673"/>
    </row>
    <row r="71" spans="1:18" x14ac:dyDescent="0.2">
      <c r="A71" s="668"/>
      <c r="B71" s="669"/>
      <c r="C71" s="670"/>
      <c r="D71" s="338"/>
      <c r="E71" s="330"/>
      <c r="F71" s="331"/>
      <c r="G71" s="332"/>
      <c r="H71" s="333"/>
      <c r="I71" s="347"/>
      <c r="J71" s="333"/>
      <c r="K71" s="334"/>
      <c r="L71" s="333"/>
      <c r="M71" s="343"/>
      <c r="N71" s="344"/>
      <c r="O71" s="337"/>
      <c r="P71" s="671"/>
      <c r="Q71" s="672"/>
      <c r="R71" s="673"/>
    </row>
    <row r="72" spans="1:18" x14ac:dyDescent="0.2">
      <c r="A72" s="609"/>
      <c r="B72" s="610"/>
      <c r="C72" s="611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671"/>
      <c r="Q72" s="672"/>
      <c r="R72" s="673"/>
    </row>
    <row r="73" spans="1:18" x14ac:dyDescent="0.2">
      <c r="A73" s="668"/>
      <c r="B73" s="669"/>
      <c r="C73" s="670"/>
      <c r="D73" s="338"/>
      <c r="E73" s="330"/>
      <c r="F73" s="331"/>
      <c r="G73" s="332"/>
      <c r="H73" s="333"/>
      <c r="I73" s="330"/>
      <c r="J73" s="333"/>
      <c r="K73" s="334"/>
      <c r="L73" s="333"/>
      <c r="M73" s="343"/>
      <c r="N73" s="344"/>
      <c r="O73" s="337"/>
      <c r="P73" s="671"/>
      <c r="Q73" s="672"/>
      <c r="R73" s="673"/>
    </row>
    <row r="74" spans="1:18" x14ac:dyDescent="0.2">
      <c r="A74" s="668"/>
      <c r="B74" s="669"/>
      <c r="C74" s="670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671"/>
      <c r="Q74" s="672"/>
      <c r="R74" s="673"/>
    </row>
    <row r="75" spans="1:18" x14ac:dyDescent="0.2">
      <c r="A75" s="668"/>
      <c r="B75" s="669"/>
      <c r="C75" s="670"/>
      <c r="D75" s="338"/>
      <c r="E75" s="330"/>
      <c r="F75" s="331"/>
      <c r="G75" s="332"/>
      <c r="H75" s="333"/>
      <c r="I75" s="330"/>
      <c r="J75" s="333"/>
      <c r="K75" s="334"/>
      <c r="L75" s="333"/>
      <c r="M75" s="343"/>
      <c r="N75" s="344"/>
      <c r="O75" s="337"/>
      <c r="P75" s="671"/>
      <c r="Q75" s="672"/>
      <c r="R75" s="673"/>
    </row>
    <row r="76" spans="1:18" x14ac:dyDescent="0.2">
      <c r="A76" s="668"/>
      <c r="B76" s="669"/>
      <c r="C76" s="670"/>
      <c r="D76" s="338"/>
      <c r="E76" s="330"/>
      <c r="F76" s="331"/>
      <c r="G76" s="332"/>
      <c r="H76" s="333"/>
      <c r="I76" s="347"/>
      <c r="J76" s="333"/>
      <c r="K76" s="334"/>
      <c r="L76" s="333"/>
      <c r="M76" s="343"/>
      <c r="N76" s="344"/>
      <c r="O76" s="337"/>
      <c r="P76" s="671"/>
      <c r="Q76" s="672"/>
      <c r="R76" s="673"/>
    </row>
    <row r="77" spans="1:18" x14ac:dyDescent="0.2">
      <c r="A77" s="686"/>
      <c r="B77" s="687"/>
      <c r="C77" s="688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671"/>
      <c r="Q77" s="672"/>
      <c r="R77" s="673"/>
    </row>
    <row r="78" spans="1:18" x14ac:dyDescent="0.2">
      <c r="A78" s="683"/>
      <c r="B78" s="684"/>
      <c r="C78" s="685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671"/>
      <c r="Q78" s="672"/>
      <c r="R78" s="673"/>
    </row>
    <row r="79" spans="1:18" x14ac:dyDescent="0.2">
      <c r="A79" s="683"/>
      <c r="B79" s="684"/>
      <c r="C79" s="685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671"/>
      <c r="Q79" s="672"/>
      <c r="R79" s="673"/>
    </row>
    <row r="80" spans="1:18" x14ac:dyDescent="0.2">
      <c r="A80" s="683"/>
      <c r="B80" s="684"/>
      <c r="C80" s="685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671"/>
      <c r="Q80" s="672"/>
      <c r="R80" s="673"/>
    </row>
    <row r="81" spans="1:18" x14ac:dyDescent="0.2">
      <c r="A81" s="683"/>
      <c r="B81" s="684"/>
      <c r="C81" s="685"/>
      <c r="D81" s="338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671"/>
      <c r="Q81" s="672"/>
      <c r="R81" s="673"/>
    </row>
    <row r="82" spans="1:18" x14ac:dyDescent="0.2">
      <c r="A82" s="680"/>
      <c r="B82" s="681"/>
      <c r="C82" s="682"/>
      <c r="D82" s="338"/>
      <c r="E82" s="330"/>
      <c r="F82" s="331"/>
      <c r="G82" s="332"/>
      <c r="H82" s="333"/>
      <c r="I82" s="330"/>
      <c r="J82" s="333"/>
      <c r="K82" s="334"/>
      <c r="L82" s="333"/>
      <c r="M82" s="343"/>
      <c r="N82" s="344"/>
      <c r="O82" s="337"/>
      <c r="P82" s="671"/>
      <c r="Q82" s="672"/>
      <c r="R82" s="673"/>
    </row>
    <row r="83" spans="1:18" x14ac:dyDescent="0.2">
      <c r="A83" s="609"/>
      <c r="B83" s="610"/>
      <c r="C83" s="611"/>
      <c r="D83" s="338"/>
      <c r="E83" s="330"/>
      <c r="F83" s="331"/>
      <c r="G83" s="332"/>
      <c r="H83" s="333"/>
      <c r="I83" s="330"/>
      <c r="J83" s="333"/>
      <c r="K83" s="334"/>
      <c r="L83" s="333"/>
      <c r="M83" s="343"/>
      <c r="N83" s="344"/>
      <c r="O83" s="337"/>
      <c r="P83" s="671"/>
      <c r="Q83" s="672"/>
      <c r="R83" s="673"/>
    </row>
    <row r="84" spans="1:18" x14ac:dyDescent="0.2">
      <c r="A84" s="668"/>
      <c r="B84" s="669"/>
      <c r="C84" s="670"/>
      <c r="D84" s="22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671"/>
      <c r="Q84" s="672"/>
      <c r="R84" s="673"/>
    </row>
    <row r="85" spans="1:18" x14ac:dyDescent="0.2">
      <c r="A85" s="668"/>
      <c r="B85" s="669"/>
      <c r="C85" s="670"/>
      <c r="D85" s="338"/>
      <c r="E85" s="330"/>
      <c r="F85" s="331"/>
      <c r="G85" s="332"/>
      <c r="H85" s="333"/>
      <c r="I85" s="330"/>
      <c r="J85" s="333"/>
      <c r="K85" s="334"/>
      <c r="L85" s="24"/>
      <c r="M85" s="343"/>
      <c r="N85" s="344"/>
      <c r="O85" s="337"/>
      <c r="P85" s="671"/>
      <c r="Q85" s="672"/>
      <c r="R85" s="673"/>
    </row>
    <row r="86" spans="1:18" x14ac:dyDescent="0.2">
      <c r="A86" s="668"/>
      <c r="B86" s="669"/>
      <c r="C86" s="670"/>
      <c r="D86" s="338"/>
      <c r="E86" s="330"/>
      <c r="F86" s="331"/>
      <c r="G86" s="332"/>
      <c r="H86" s="333"/>
      <c r="I86" s="330"/>
      <c r="J86" s="333"/>
      <c r="K86" s="60"/>
      <c r="L86" s="333"/>
      <c r="M86" s="341"/>
      <c r="N86" s="33"/>
      <c r="O86" s="337"/>
      <c r="P86" s="671"/>
      <c r="Q86" s="672"/>
      <c r="R86" s="673"/>
    </row>
    <row r="87" spans="1:18" x14ac:dyDescent="0.2">
      <c r="A87" s="668"/>
      <c r="B87" s="669"/>
      <c r="C87" s="670"/>
      <c r="D87" s="338"/>
      <c r="E87" s="330"/>
      <c r="F87" s="331"/>
      <c r="G87" s="332"/>
      <c r="H87" s="333"/>
      <c r="I87" s="330"/>
      <c r="J87" s="333"/>
      <c r="K87" s="334"/>
      <c r="L87" s="333"/>
      <c r="M87" s="343"/>
      <c r="N87" s="344"/>
      <c r="O87" s="337"/>
      <c r="P87" s="671"/>
      <c r="Q87" s="672"/>
      <c r="R87" s="673"/>
    </row>
    <row r="88" spans="1:18" x14ac:dyDescent="0.2">
      <c r="A88" s="612"/>
      <c r="B88" s="613"/>
      <c r="C88" s="614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671"/>
      <c r="Q88" s="672"/>
      <c r="R88" s="673"/>
    </row>
    <row r="89" spans="1:18" x14ac:dyDescent="0.2">
      <c r="A89" s="609"/>
      <c r="B89" s="610"/>
      <c r="C89" s="61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671"/>
      <c r="Q89" s="672"/>
      <c r="R89" s="673"/>
    </row>
    <row r="90" spans="1:18" x14ac:dyDescent="0.2">
      <c r="A90" s="668"/>
      <c r="B90" s="669"/>
      <c r="C90" s="670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671"/>
      <c r="Q90" s="672"/>
      <c r="R90" s="673"/>
    </row>
    <row r="91" spans="1:18" x14ac:dyDescent="0.2">
      <c r="A91" s="668"/>
      <c r="B91" s="669"/>
      <c r="C91" s="670"/>
      <c r="D91" s="338"/>
      <c r="E91" s="330"/>
      <c r="F91" s="331"/>
      <c r="G91" s="332"/>
      <c r="H91" s="333"/>
      <c r="I91" s="330"/>
      <c r="J91" s="333"/>
      <c r="K91" s="334"/>
      <c r="L91" s="333"/>
      <c r="M91" s="343"/>
      <c r="N91" s="344"/>
      <c r="O91" s="337"/>
      <c r="P91" s="671"/>
      <c r="Q91" s="672"/>
      <c r="R91" s="673"/>
    </row>
    <row r="92" spans="1:18" x14ac:dyDescent="0.2">
      <c r="A92" s="609"/>
      <c r="B92" s="610"/>
      <c r="C92" s="611"/>
      <c r="D92" s="338"/>
      <c r="E92" s="330"/>
      <c r="F92" s="331"/>
      <c r="G92" s="332"/>
      <c r="H92" s="333"/>
      <c r="I92" s="330"/>
      <c r="J92" s="333"/>
      <c r="K92" s="334"/>
      <c r="L92" s="333"/>
      <c r="M92" s="343"/>
      <c r="N92" s="344"/>
      <c r="O92" s="337"/>
      <c r="P92" s="671"/>
      <c r="Q92" s="672"/>
      <c r="R92" s="673"/>
    </row>
    <row r="93" spans="1:18" x14ac:dyDescent="0.2">
      <c r="A93" s="668"/>
      <c r="B93" s="669"/>
      <c r="C93" s="670"/>
      <c r="D93" s="338"/>
      <c r="E93" s="330"/>
      <c r="F93" s="331"/>
      <c r="G93" s="332"/>
      <c r="H93" s="333"/>
      <c r="I93" s="347"/>
      <c r="J93" s="333"/>
      <c r="K93" s="334"/>
      <c r="L93" s="333"/>
      <c r="M93" s="343"/>
      <c r="N93" s="344"/>
      <c r="O93" s="337"/>
      <c r="P93" s="671"/>
      <c r="Q93" s="672"/>
      <c r="R93" s="673"/>
    </row>
    <row r="94" spans="1:18" x14ac:dyDescent="0.2">
      <c r="A94" s="668"/>
      <c r="B94" s="669"/>
      <c r="C94" s="670"/>
      <c r="D94" s="338"/>
      <c r="E94" s="330"/>
      <c r="F94" s="331"/>
      <c r="G94" s="332"/>
      <c r="H94" s="333"/>
      <c r="I94" s="347"/>
      <c r="J94" s="333"/>
      <c r="K94" s="334"/>
      <c r="L94" s="333"/>
      <c r="M94" s="343"/>
      <c r="N94" s="344"/>
      <c r="O94" s="337"/>
      <c r="P94" s="671"/>
      <c r="Q94" s="672"/>
      <c r="R94" s="673"/>
    </row>
    <row r="95" spans="1:18" x14ac:dyDescent="0.2">
      <c r="A95" s="668"/>
      <c r="B95" s="669"/>
      <c r="C95" s="670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671"/>
      <c r="Q95" s="672"/>
      <c r="R95" s="673"/>
    </row>
    <row r="96" spans="1:18" x14ac:dyDescent="0.2">
      <c r="A96" s="609"/>
      <c r="B96" s="610"/>
      <c r="C96" s="611"/>
      <c r="D96" s="338"/>
      <c r="E96" s="330"/>
      <c r="F96" s="331"/>
      <c r="G96" s="332"/>
      <c r="H96" s="333"/>
      <c r="I96" s="330"/>
      <c r="J96" s="333"/>
      <c r="K96" s="334"/>
      <c r="L96" s="333"/>
      <c r="M96" s="343"/>
      <c r="N96" s="344"/>
      <c r="O96" s="337"/>
      <c r="P96" s="671"/>
      <c r="Q96" s="672"/>
      <c r="R96" s="673"/>
    </row>
    <row r="97" spans="1:18" x14ac:dyDescent="0.2">
      <c r="A97" s="668"/>
      <c r="B97" s="669"/>
      <c r="C97" s="670"/>
      <c r="D97" s="338"/>
      <c r="E97" s="330"/>
      <c r="F97" s="331"/>
      <c r="G97" s="332"/>
      <c r="H97" s="333"/>
      <c r="I97" s="347"/>
      <c r="J97" s="24"/>
      <c r="K97" s="334"/>
      <c r="L97" s="333"/>
      <c r="M97" s="343"/>
      <c r="N97" s="344"/>
      <c r="O97" s="337"/>
      <c r="P97" s="671"/>
      <c r="Q97" s="672"/>
      <c r="R97" s="673"/>
    </row>
    <row r="98" spans="1:18" x14ac:dyDescent="0.2">
      <c r="A98" s="668"/>
      <c r="B98" s="669"/>
      <c r="C98" s="670"/>
      <c r="D98" s="338"/>
      <c r="E98" s="330"/>
      <c r="F98" s="331"/>
      <c r="G98" s="332"/>
      <c r="H98" s="333"/>
      <c r="I98" s="347"/>
      <c r="J98" s="333"/>
      <c r="K98" s="334"/>
      <c r="L98" s="333"/>
      <c r="M98" s="343"/>
      <c r="N98" s="344"/>
      <c r="O98" s="337"/>
      <c r="P98" s="671"/>
      <c r="Q98" s="672"/>
      <c r="R98" s="673"/>
    </row>
    <row r="99" spans="1:18" x14ac:dyDescent="0.2">
      <c r="A99" s="668"/>
      <c r="B99" s="669"/>
      <c r="C99" s="670"/>
      <c r="D99" s="338"/>
      <c r="E99" s="330"/>
      <c r="F99" s="331"/>
      <c r="G99" s="332"/>
      <c r="H99" s="333"/>
      <c r="I99" s="347"/>
      <c r="J99" s="333"/>
      <c r="K99" s="334"/>
      <c r="L99" s="333"/>
      <c r="M99" s="343"/>
      <c r="N99" s="344"/>
      <c r="O99" s="337"/>
      <c r="P99" s="671"/>
      <c r="Q99" s="672"/>
      <c r="R99" s="673"/>
    </row>
    <row r="100" spans="1:18" x14ac:dyDescent="0.2">
      <c r="A100" s="668"/>
      <c r="B100" s="669"/>
      <c r="C100" s="670"/>
      <c r="D100" s="338"/>
      <c r="E100" s="330"/>
      <c r="F100" s="331"/>
      <c r="G100" s="332"/>
      <c r="H100" s="333"/>
      <c r="I100" s="347"/>
      <c r="J100" s="333"/>
      <c r="K100" s="334"/>
      <c r="L100" s="333"/>
      <c r="M100" s="343"/>
      <c r="N100" s="344"/>
      <c r="O100" s="337"/>
      <c r="P100" s="671"/>
      <c r="Q100" s="672"/>
      <c r="R100" s="673"/>
    </row>
    <row r="101" spans="1:18" x14ac:dyDescent="0.2">
      <c r="A101" s="668"/>
      <c r="B101" s="669"/>
      <c r="C101" s="670"/>
      <c r="D101" s="338"/>
      <c r="E101" s="330"/>
      <c r="F101" s="331"/>
      <c r="G101" s="281"/>
      <c r="H101" s="333"/>
      <c r="I101" s="347"/>
      <c r="J101" s="333"/>
      <c r="K101" s="334"/>
      <c r="L101" s="333"/>
      <c r="M101" s="343"/>
      <c r="N101" s="344"/>
      <c r="O101" s="337"/>
      <c r="P101" s="671"/>
      <c r="Q101" s="672"/>
      <c r="R101" s="673"/>
    </row>
    <row r="102" spans="1:18" x14ac:dyDescent="0.2">
      <c r="A102" s="609"/>
      <c r="B102" s="610"/>
      <c r="C102" s="611"/>
      <c r="D102" s="338"/>
      <c r="E102" s="330"/>
      <c r="F102" s="331"/>
      <c r="G102" s="332"/>
      <c r="H102" s="333"/>
      <c r="I102" s="330"/>
      <c r="J102" s="333"/>
      <c r="K102" s="334"/>
      <c r="L102" s="333"/>
      <c r="M102" s="343"/>
      <c r="N102" s="344"/>
      <c r="O102" s="337"/>
      <c r="P102" s="671"/>
      <c r="Q102" s="672"/>
      <c r="R102" s="673"/>
    </row>
    <row r="103" spans="1:18" x14ac:dyDescent="0.2">
      <c r="A103" s="668"/>
      <c r="B103" s="669"/>
      <c r="C103" s="670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671"/>
      <c r="Q103" s="672"/>
      <c r="R103" s="673"/>
    </row>
    <row r="104" spans="1:18" x14ac:dyDescent="0.2">
      <c r="A104" s="668"/>
      <c r="B104" s="669"/>
      <c r="C104" s="670"/>
      <c r="D104" s="338"/>
      <c r="E104" s="330"/>
      <c r="F104" s="331"/>
      <c r="G104" s="332"/>
      <c r="H104" s="333"/>
      <c r="I104" s="330"/>
      <c r="J104" s="333"/>
      <c r="K104" s="349"/>
      <c r="L104" s="24"/>
      <c r="M104" s="343"/>
      <c r="N104" s="344"/>
      <c r="O104" s="337"/>
      <c r="P104" s="671"/>
      <c r="Q104" s="672"/>
      <c r="R104" s="673"/>
    </row>
    <row r="105" spans="1:18" x14ac:dyDescent="0.2">
      <c r="A105" s="668"/>
      <c r="B105" s="669"/>
      <c r="C105" s="670"/>
      <c r="D105" s="338"/>
      <c r="E105" s="330"/>
      <c r="F105" s="331"/>
      <c r="G105" s="332"/>
      <c r="H105" s="333"/>
      <c r="I105" s="330"/>
      <c r="J105" s="333"/>
      <c r="K105" s="60"/>
      <c r="L105" s="333"/>
      <c r="M105" s="341"/>
      <c r="N105" s="33"/>
      <c r="O105" s="337"/>
      <c r="P105" s="671"/>
      <c r="Q105" s="672"/>
      <c r="R105" s="673"/>
    </row>
    <row r="106" spans="1:18" x14ac:dyDescent="0.2">
      <c r="A106" s="668"/>
      <c r="B106" s="669"/>
      <c r="C106" s="670"/>
      <c r="D106" s="338"/>
      <c r="E106" s="330"/>
      <c r="F106" s="331"/>
      <c r="G106" s="332"/>
      <c r="H106" s="333"/>
      <c r="I106" s="330"/>
      <c r="J106" s="333"/>
      <c r="K106" s="334"/>
      <c r="L106" s="333"/>
      <c r="M106" s="343"/>
      <c r="N106" s="344"/>
      <c r="O106" s="337"/>
      <c r="P106" s="671"/>
      <c r="Q106" s="672"/>
      <c r="R106" s="673"/>
    </row>
    <row r="107" spans="1:18" x14ac:dyDescent="0.2">
      <c r="A107" s="612"/>
      <c r="B107" s="613"/>
      <c r="C107" s="614"/>
      <c r="D107" s="338"/>
      <c r="E107" s="330"/>
      <c r="F107" s="331"/>
      <c r="G107" s="332"/>
      <c r="H107" s="333"/>
      <c r="I107" s="330"/>
      <c r="J107" s="333"/>
      <c r="K107" s="334"/>
      <c r="L107" s="333"/>
      <c r="M107" s="343"/>
      <c r="N107" s="344"/>
      <c r="O107" s="337"/>
      <c r="P107" s="671"/>
      <c r="Q107" s="672"/>
      <c r="R107" s="673"/>
    </row>
    <row r="108" spans="1:18" x14ac:dyDescent="0.2">
      <c r="A108" s="668"/>
      <c r="B108" s="669"/>
      <c r="C108" s="670"/>
      <c r="D108" s="22"/>
      <c r="E108" s="330"/>
      <c r="F108" s="331"/>
      <c r="G108" s="332"/>
      <c r="H108" s="333"/>
      <c r="I108" s="330"/>
      <c r="J108" s="24"/>
      <c r="K108" s="334"/>
      <c r="L108" s="333"/>
      <c r="M108" s="343"/>
      <c r="N108" s="344"/>
      <c r="O108" s="337"/>
      <c r="P108" s="671"/>
      <c r="Q108" s="672"/>
      <c r="R108" s="673"/>
    </row>
    <row r="109" spans="1:18" x14ac:dyDescent="0.2">
      <c r="A109" s="668"/>
      <c r="B109" s="669"/>
      <c r="C109" s="670"/>
      <c r="D109" s="338"/>
      <c r="E109" s="330"/>
      <c r="F109" s="331"/>
      <c r="G109" s="332"/>
      <c r="H109" s="333"/>
      <c r="I109" s="347"/>
      <c r="J109" s="333"/>
      <c r="K109" s="334"/>
      <c r="L109" s="333"/>
      <c r="M109" s="343"/>
      <c r="N109" s="344"/>
      <c r="O109" s="337"/>
      <c r="P109" s="671"/>
      <c r="Q109" s="672"/>
      <c r="R109" s="673"/>
    </row>
    <row r="110" spans="1:18" x14ac:dyDescent="0.2">
      <c r="A110" s="668"/>
      <c r="B110" s="669"/>
      <c r="C110" s="670"/>
      <c r="D110" s="338"/>
      <c r="E110" s="330"/>
      <c r="F110" s="331"/>
      <c r="G110" s="332"/>
      <c r="H110" s="333"/>
      <c r="I110" s="330"/>
      <c r="J110" s="333"/>
      <c r="K110" s="349"/>
      <c r="L110" s="24"/>
      <c r="M110" s="343"/>
      <c r="N110" s="344"/>
      <c r="O110" s="337"/>
      <c r="P110" s="671"/>
      <c r="Q110" s="672"/>
      <c r="R110" s="673"/>
    </row>
    <row r="111" spans="1:18" x14ac:dyDescent="0.2">
      <c r="A111" s="674"/>
      <c r="B111" s="675"/>
      <c r="C111" s="676"/>
      <c r="D111" s="354"/>
      <c r="E111" s="355"/>
      <c r="F111" s="356"/>
      <c r="G111" s="357"/>
      <c r="H111" s="358"/>
      <c r="I111" s="355"/>
      <c r="J111" s="358"/>
      <c r="K111" s="62"/>
      <c r="L111" s="358"/>
      <c r="M111" s="359"/>
      <c r="N111" s="37"/>
      <c r="O111" s="360"/>
      <c r="P111" s="677"/>
      <c r="Q111" s="678"/>
      <c r="R111" s="679"/>
    </row>
  </sheetData>
  <mergeCells count="219">
    <mergeCell ref="P6:R6"/>
    <mergeCell ref="A7:C7"/>
    <mergeCell ref="P7:R7"/>
    <mergeCell ref="A8:C8"/>
    <mergeCell ref="P8:R8"/>
    <mergeCell ref="A9:C9"/>
    <mergeCell ref="P9:R9"/>
    <mergeCell ref="L1:M1"/>
    <mergeCell ref="L2:M2"/>
    <mergeCell ref="D3:F3"/>
    <mergeCell ref="L3:M3"/>
    <mergeCell ref="A4:C4"/>
    <mergeCell ref="D4:F4"/>
    <mergeCell ref="L4:M4"/>
    <mergeCell ref="P2:Q2"/>
    <mergeCell ref="A13:C13"/>
    <mergeCell ref="P13:R13"/>
    <mergeCell ref="A14:C14"/>
    <mergeCell ref="P14:R14"/>
    <mergeCell ref="A15:C15"/>
    <mergeCell ref="P15:R15"/>
    <mergeCell ref="A10:C10"/>
    <mergeCell ref="P10:R10"/>
    <mergeCell ref="A11:C11"/>
    <mergeCell ref="P11:R11"/>
    <mergeCell ref="A12:C12"/>
    <mergeCell ref="P12:R12"/>
    <mergeCell ref="A19:C19"/>
    <mergeCell ref="P19:R19"/>
    <mergeCell ref="A20:C20"/>
    <mergeCell ref="P20:R20"/>
    <mergeCell ref="A21:C21"/>
    <mergeCell ref="P21:R21"/>
    <mergeCell ref="A16:C16"/>
    <mergeCell ref="P16:R16"/>
    <mergeCell ref="A17:C17"/>
    <mergeCell ref="P17:R17"/>
    <mergeCell ref="A18:C18"/>
    <mergeCell ref="P18:R18"/>
    <mergeCell ref="A25:C25"/>
    <mergeCell ref="P25:R25"/>
    <mergeCell ref="A26:C26"/>
    <mergeCell ref="P26:R26"/>
    <mergeCell ref="A27:C27"/>
    <mergeCell ref="P27:R27"/>
    <mergeCell ref="A22:C22"/>
    <mergeCell ref="P22:R22"/>
    <mergeCell ref="A23:C23"/>
    <mergeCell ref="P23:R23"/>
    <mergeCell ref="A24:C24"/>
    <mergeCell ref="P24:R24"/>
    <mergeCell ref="A31:C31"/>
    <mergeCell ref="P31:R31"/>
    <mergeCell ref="A32:C32"/>
    <mergeCell ref="P32:R32"/>
    <mergeCell ref="A33:C33"/>
    <mergeCell ref="P33:R33"/>
    <mergeCell ref="A28:C28"/>
    <mergeCell ref="P28:R28"/>
    <mergeCell ref="A29:C29"/>
    <mergeCell ref="P29:R29"/>
    <mergeCell ref="A30:C30"/>
    <mergeCell ref="P30:R30"/>
    <mergeCell ref="A37:C37"/>
    <mergeCell ref="P37:R37"/>
    <mergeCell ref="A38:C38"/>
    <mergeCell ref="P38:R38"/>
    <mergeCell ref="A39:C39"/>
    <mergeCell ref="P39:R39"/>
    <mergeCell ref="A34:C34"/>
    <mergeCell ref="P34:R34"/>
    <mergeCell ref="A35:C35"/>
    <mergeCell ref="P35:R35"/>
    <mergeCell ref="A36:C36"/>
    <mergeCell ref="P36:R36"/>
    <mergeCell ref="A43:C43"/>
    <mergeCell ref="P43:R43"/>
    <mergeCell ref="A44:C44"/>
    <mergeCell ref="P44:R44"/>
    <mergeCell ref="A45:C45"/>
    <mergeCell ref="P45:R45"/>
    <mergeCell ref="A40:C40"/>
    <mergeCell ref="P40:R40"/>
    <mergeCell ref="A41:C41"/>
    <mergeCell ref="P41:R41"/>
    <mergeCell ref="A42:C42"/>
    <mergeCell ref="P42:R42"/>
    <mergeCell ref="A49:C49"/>
    <mergeCell ref="P49:R49"/>
    <mergeCell ref="A50:C50"/>
    <mergeCell ref="P50:R50"/>
    <mergeCell ref="A51:C51"/>
    <mergeCell ref="P51:R51"/>
    <mergeCell ref="A46:C46"/>
    <mergeCell ref="P46:R46"/>
    <mergeCell ref="A47:C47"/>
    <mergeCell ref="P47:R47"/>
    <mergeCell ref="A48:C48"/>
    <mergeCell ref="P48:R48"/>
    <mergeCell ref="A55:C55"/>
    <mergeCell ref="P55:R55"/>
    <mergeCell ref="A56:C56"/>
    <mergeCell ref="P56:R56"/>
    <mergeCell ref="A57:C57"/>
    <mergeCell ref="P57:R57"/>
    <mergeCell ref="A52:C52"/>
    <mergeCell ref="P52:R52"/>
    <mergeCell ref="A53:C53"/>
    <mergeCell ref="P53:R53"/>
    <mergeCell ref="A54:C54"/>
    <mergeCell ref="P54:R54"/>
    <mergeCell ref="A61:C61"/>
    <mergeCell ref="P61:R61"/>
    <mergeCell ref="A62:C62"/>
    <mergeCell ref="P62:R62"/>
    <mergeCell ref="A63:C63"/>
    <mergeCell ref="P63:R63"/>
    <mergeCell ref="A58:C58"/>
    <mergeCell ref="P58:R58"/>
    <mergeCell ref="A59:C59"/>
    <mergeCell ref="P59:R59"/>
    <mergeCell ref="A60:C60"/>
    <mergeCell ref="P60:R60"/>
    <mergeCell ref="A67:C67"/>
    <mergeCell ref="P67:R67"/>
    <mergeCell ref="A68:C68"/>
    <mergeCell ref="P68:R68"/>
    <mergeCell ref="A69:C69"/>
    <mergeCell ref="P69:R69"/>
    <mergeCell ref="A64:C64"/>
    <mergeCell ref="P64:R64"/>
    <mergeCell ref="A65:C65"/>
    <mergeCell ref="P65:R65"/>
    <mergeCell ref="A66:C66"/>
    <mergeCell ref="P66:R66"/>
    <mergeCell ref="A73:C73"/>
    <mergeCell ref="P73:R73"/>
    <mergeCell ref="A74:C74"/>
    <mergeCell ref="P74:R74"/>
    <mergeCell ref="A75:C75"/>
    <mergeCell ref="P75:R75"/>
    <mergeCell ref="A70:C70"/>
    <mergeCell ref="P70:R70"/>
    <mergeCell ref="A71:C71"/>
    <mergeCell ref="P71:R71"/>
    <mergeCell ref="A72:C72"/>
    <mergeCell ref="P72:R72"/>
    <mergeCell ref="A79:C79"/>
    <mergeCell ref="P79:R79"/>
    <mergeCell ref="A80:C80"/>
    <mergeCell ref="P80:R80"/>
    <mergeCell ref="A81:C81"/>
    <mergeCell ref="P81:R81"/>
    <mergeCell ref="A76:C76"/>
    <mergeCell ref="P76:R76"/>
    <mergeCell ref="A77:C77"/>
    <mergeCell ref="P77:R77"/>
    <mergeCell ref="A78:C78"/>
    <mergeCell ref="P78:R78"/>
    <mergeCell ref="A85:C85"/>
    <mergeCell ref="P85:R85"/>
    <mergeCell ref="A86:C86"/>
    <mergeCell ref="P86:R86"/>
    <mergeCell ref="A87:C87"/>
    <mergeCell ref="P87:R87"/>
    <mergeCell ref="A82:C82"/>
    <mergeCell ref="P82:R82"/>
    <mergeCell ref="A83:C83"/>
    <mergeCell ref="P83:R83"/>
    <mergeCell ref="A84:C84"/>
    <mergeCell ref="P84:R84"/>
    <mergeCell ref="A91:C91"/>
    <mergeCell ref="P91:R91"/>
    <mergeCell ref="A92:C92"/>
    <mergeCell ref="P92:R92"/>
    <mergeCell ref="A93:C93"/>
    <mergeCell ref="P93:R93"/>
    <mergeCell ref="A88:C88"/>
    <mergeCell ref="P88:R88"/>
    <mergeCell ref="A89:C89"/>
    <mergeCell ref="P89:R89"/>
    <mergeCell ref="A90:C90"/>
    <mergeCell ref="P90:R90"/>
    <mergeCell ref="A97:C97"/>
    <mergeCell ref="P97:R97"/>
    <mergeCell ref="A98:C98"/>
    <mergeCell ref="P98:R98"/>
    <mergeCell ref="A99:C99"/>
    <mergeCell ref="P99:R99"/>
    <mergeCell ref="A94:C94"/>
    <mergeCell ref="P94:R94"/>
    <mergeCell ref="A95:C95"/>
    <mergeCell ref="P95:R95"/>
    <mergeCell ref="A96:C96"/>
    <mergeCell ref="P96:R96"/>
    <mergeCell ref="A103:C103"/>
    <mergeCell ref="P103:R103"/>
    <mergeCell ref="A104:C104"/>
    <mergeCell ref="P104:R104"/>
    <mergeCell ref="A105:C105"/>
    <mergeCell ref="P105:R105"/>
    <mergeCell ref="A100:C100"/>
    <mergeCell ref="P100:R100"/>
    <mergeCell ref="A101:C101"/>
    <mergeCell ref="P101:R101"/>
    <mergeCell ref="A102:C102"/>
    <mergeCell ref="P102:R102"/>
    <mergeCell ref="A109:C109"/>
    <mergeCell ref="P109:R109"/>
    <mergeCell ref="A110:C110"/>
    <mergeCell ref="P110:R110"/>
    <mergeCell ref="A111:C111"/>
    <mergeCell ref="P111:R111"/>
    <mergeCell ref="A106:C106"/>
    <mergeCell ref="P106:R106"/>
    <mergeCell ref="A107:C107"/>
    <mergeCell ref="P107:R107"/>
    <mergeCell ref="A108:C108"/>
    <mergeCell ref="P108:R108"/>
  </mergeCells>
  <hyperlinks>
    <hyperlink ref="D8" r:id="rId1"/>
    <hyperlink ref="D16" r:id="rId2"/>
    <hyperlink ref="D23" r:id="rId3"/>
    <hyperlink ref="D26" r:id="rId4"/>
    <hyperlink ref="D28" r:id="rId5"/>
    <hyperlink ref="D30" r:id="rId6"/>
    <hyperlink ref="O9" location="'Flooring Price'!A1" display="P10"/>
    <hyperlink ref="O16" location="'Gypsum Board Price'!A1" display="P11"/>
    <hyperlink ref="O24" location="'Gypsum Board Price'!A1" display="P11"/>
    <hyperlink ref="O28" location="'Gypsum Board Price'!A1" display="P11"/>
    <hyperlink ref="O19" location="'Paint Price'!A1" display="P12"/>
    <hyperlink ref="O26" location="'Steel Price'!A1" display="P5"/>
    <hyperlink ref="O30" location="'Steel Price'!A1" display="P5"/>
    <hyperlink ref="P2" location="'Table of Contents'!A1" display="Table of Contents"/>
  </hyperlinks>
  <pageMargins left="0.7" right="0.7" top="0.75" bottom="0.75" header="0.3" footer="0.3"/>
  <pageSetup orientation="portrait" r:id="rId7"/>
  <drawing r:id="rId8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M12" sqref="M12"/>
    </sheetView>
  </sheetViews>
  <sheetFormatPr defaultRowHeight="12.75" x14ac:dyDescent="0.2"/>
  <cols>
    <col min="1" max="2" width="2.7109375" style="292" customWidth="1"/>
    <col min="3" max="3" width="19" style="469" bestFit="1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714</v>
      </c>
      <c r="U1" s="657"/>
      <c r="V1" s="657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663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432" t="s">
        <v>271</v>
      </c>
      <c r="D9" s="575">
        <v>9</v>
      </c>
      <c r="E9" s="263"/>
      <c r="F9" s="263"/>
      <c r="G9" s="434"/>
      <c r="H9" s="435"/>
      <c r="I9" s="436"/>
      <c r="J9" s="263"/>
      <c r="K9" s="263"/>
      <c r="L9" s="263"/>
      <c r="M9" s="263"/>
      <c r="N9" s="437"/>
      <c r="O9" s="434"/>
      <c r="P9" s="438"/>
      <c r="Q9" s="439"/>
      <c r="R9" s="434"/>
      <c r="S9" s="435"/>
      <c r="T9" s="478"/>
      <c r="U9" s="436"/>
      <c r="V9" s="441"/>
    </row>
    <row r="10" spans="1:24" x14ac:dyDescent="0.2">
      <c r="A10" s="431"/>
      <c r="B10" s="281"/>
      <c r="C10" s="432" t="s">
        <v>808</v>
      </c>
      <c r="D10" s="263"/>
      <c r="E10" s="263">
        <f>Finshes!I9</f>
        <v>4326</v>
      </c>
      <c r="F10" s="263" t="s">
        <v>348</v>
      </c>
      <c r="G10" s="434">
        <v>3.2</v>
      </c>
      <c r="H10" s="435">
        <f t="shared" ref="H10:H20" si="0">G10*E10</f>
        <v>13843.2</v>
      </c>
      <c r="I10" s="436" t="s">
        <v>539</v>
      </c>
      <c r="J10" s="263">
        <v>500</v>
      </c>
      <c r="K10" s="263">
        <f t="shared" ref="K10:K20" si="1">E10/J10</f>
        <v>8.6519999999999992</v>
      </c>
      <c r="L10" s="263">
        <f t="shared" ref="L10:L20" si="2">8*K10</f>
        <v>69.215999999999994</v>
      </c>
      <c r="M10" s="442" t="s">
        <v>473</v>
      </c>
      <c r="N10" s="443">
        <v>2</v>
      </c>
      <c r="O10" s="434">
        <v>22.05</v>
      </c>
      <c r="P10" s="438">
        <f>O10*N10*L10</f>
        <v>3052.4256</v>
      </c>
      <c r="Q10" s="439"/>
      <c r="R10" s="434"/>
      <c r="S10" s="435"/>
      <c r="T10" s="478">
        <f t="shared" ref="T10:T22" si="3">S10+P10+H10</f>
        <v>16895.625599999999</v>
      </c>
      <c r="U10" s="436">
        <f t="shared" ref="U10:U20" si="4">T10/E10</f>
        <v>3.9055999999999997</v>
      </c>
      <c r="V10" s="441" t="str">
        <f t="shared" ref="V10:V20" si="5">F10</f>
        <v>sf</v>
      </c>
    </row>
    <row r="11" spans="1:24" x14ac:dyDescent="0.2">
      <c r="A11" s="444"/>
      <c r="B11" s="281"/>
      <c r="C11" s="432" t="s">
        <v>809</v>
      </c>
      <c r="D11" s="263"/>
      <c r="E11" s="263">
        <f>Finshes!I10</f>
        <v>1869</v>
      </c>
      <c r="F11" s="263" t="s">
        <v>348</v>
      </c>
      <c r="G11" s="434">
        <v>5.54</v>
      </c>
      <c r="H11" s="435">
        <f t="shared" si="0"/>
        <v>10354.26</v>
      </c>
      <c r="I11" s="436" t="s">
        <v>581</v>
      </c>
      <c r="J11" s="263">
        <v>175</v>
      </c>
      <c r="K11" s="263">
        <f t="shared" si="1"/>
        <v>10.68</v>
      </c>
      <c r="L11" s="263">
        <f t="shared" si="2"/>
        <v>85.44</v>
      </c>
      <c r="M11" s="263" t="s">
        <v>582</v>
      </c>
      <c r="N11" s="437">
        <v>2</v>
      </c>
      <c r="O11" s="434">
        <v>20.38</v>
      </c>
      <c r="P11" s="438">
        <f>O13*L11</f>
        <v>4853.8464000000004</v>
      </c>
      <c r="Q11" s="439"/>
      <c r="R11" s="434"/>
      <c r="S11" s="435"/>
      <c r="T11" s="478">
        <f t="shared" si="3"/>
        <v>15208.106400000001</v>
      </c>
      <c r="U11" s="436">
        <f t="shared" si="4"/>
        <v>8.1370285714285711</v>
      </c>
      <c r="V11" s="441" t="str">
        <f t="shared" si="5"/>
        <v>sf</v>
      </c>
    </row>
    <row r="12" spans="1:24" x14ac:dyDescent="0.2">
      <c r="A12" s="431"/>
      <c r="B12" s="281"/>
      <c r="C12" s="432"/>
      <c r="D12" s="263"/>
      <c r="E12" s="263"/>
      <c r="F12" s="263"/>
      <c r="G12" s="434"/>
      <c r="H12" s="435"/>
      <c r="I12" s="436"/>
      <c r="J12" s="263"/>
      <c r="K12" s="263"/>
      <c r="L12" s="263"/>
      <c r="M12" s="263" t="s">
        <v>583</v>
      </c>
      <c r="N12" s="437">
        <v>1</v>
      </c>
      <c r="O12" s="434">
        <v>16.05</v>
      </c>
      <c r="P12" s="438"/>
      <c r="Q12" s="439"/>
      <c r="R12" s="434"/>
      <c r="S12" s="435"/>
      <c r="T12" s="478"/>
      <c r="U12" s="436"/>
      <c r="V12" s="441"/>
    </row>
    <row r="13" spans="1:24" x14ac:dyDescent="0.2">
      <c r="A13" s="431"/>
      <c r="B13" s="281"/>
      <c r="C13" s="432"/>
      <c r="D13" s="263"/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>
        <f>O11*N11+O12</f>
        <v>56.81</v>
      </c>
      <c r="P13" s="438"/>
      <c r="Q13" s="439"/>
      <c r="R13" s="434"/>
      <c r="S13" s="435"/>
      <c r="T13" s="478"/>
      <c r="U13" s="436"/>
      <c r="V13" s="441"/>
    </row>
    <row r="14" spans="1:24" x14ac:dyDescent="0.2">
      <c r="A14" s="444"/>
      <c r="B14" s="281"/>
      <c r="C14" s="43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ht="15" x14ac:dyDescent="0.25">
      <c r="A15" s="431"/>
      <c r="B15" s="281"/>
      <c r="C15" s="432" t="s">
        <v>584</v>
      </c>
      <c r="D15" s="575">
        <v>9</v>
      </c>
      <c r="E15" s="263">
        <f>Finshes!I11</f>
        <v>432</v>
      </c>
      <c r="F15" s="263" t="s">
        <v>348</v>
      </c>
      <c r="G15" s="434">
        <v>4.32</v>
      </c>
      <c r="H15" s="435">
        <f t="shared" si="0"/>
        <v>1866.2400000000002</v>
      </c>
      <c r="I15" s="436" t="s">
        <v>581</v>
      </c>
      <c r="J15" s="263">
        <v>165</v>
      </c>
      <c r="K15" s="263">
        <f t="shared" si="1"/>
        <v>2.6181818181818182</v>
      </c>
      <c r="L15" s="263">
        <f t="shared" si="2"/>
        <v>20.945454545454545</v>
      </c>
      <c r="M15" s="263" t="s">
        <v>582</v>
      </c>
      <c r="N15" s="437">
        <v>2</v>
      </c>
      <c r="O15" s="434">
        <v>20.38</v>
      </c>
      <c r="P15" s="438">
        <f>O17*L15</f>
        <v>1189.9112727272727</v>
      </c>
      <c r="Q15" s="439"/>
      <c r="R15" s="434"/>
      <c r="S15" s="435"/>
      <c r="T15" s="478">
        <f t="shared" si="3"/>
        <v>3056.151272727273</v>
      </c>
      <c r="U15" s="436">
        <f t="shared" si="4"/>
        <v>7.0744242424242429</v>
      </c>
      <c r="V15" s="441" t="str">
        <f t="shared" si="5"/>
        <v>sf</v>
      </c>
    </row>
    <row r="16" spans="1:24" x14ac:dyDescent="0.2">
      <c r="A16" s="431"/>
      <c r="B16" s="281"/>
      <c r="C16" s="432"/>
      <c r="D16" s="263"/>
      <c r="E16" s="263"/>
      <c r="F16" s="263"/>
      <c r="G16" s="434"/>
      <c r="H16" s="435"/>
      <c r="I16" s="436"/>
      <c r="J16" s="263"/>
      <c r="K16" s="263"/>
      <c r="L16" s="263"/>
      <c r="M16" s="263" t="s">
        <v>583</v>
      </c>
      <c r="N16" s="437">
        <v>1</v>
      </c>
      <c r="O16" s="434">
        <v>16.05</v>
      </c>
      <c r="P16" s="438"/>
      <c r="Q16" s="439"/>
      <c r="R16" s="434"/>
      <c r="S16" s="435"/>
      <c r="T16" s="478"/>
      <c r="U16" s="436"/>
      <c r="V16" s="441">
        <f t="shared" si="5"/>
        <v>0</v>
      </c>
    </row>
    <row r="17" spans="1:22" x14ac:dyDescent="0.2">
      <c r="A17" s="444"/>
      <c r="B17" s="281"/>
      <c r="C17" s="43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>
        <f>O15*N15+O16</f>
        <v>56.81</v>
      </c>
      <c r="P17" s="438"/>
      <c r="Q17" s="439"/>
      <c r="R17" s="434"/>
      <c r="S17" s="435"/>
      <c r="T17" s="478"/>
      <c r="U17" s="436"/>
      <c r="V17" s="441">
        <f t="shared" si="5"/>
        <v>0</v>
      </c>
    </row>
    <row r="18" spans="1:22" ht="15" x14ac:dyDescent="0.25">
      <c r="A18" s="431"/>
      <c r="B18" s="281"/>
      <c r="C18" s="432" t="s">
        <v>277</v>
      </c>
      <c r="D18" s="575">
        <v>9</v>
      </c>
      <c r="E18" s="263">
        <f>Finshes!I12</f>
        <v>379</v>
      </c>
      <c r="F18" s="263" t="s">
        <v>348</v>
      </c>
      <c r="G18" s="434">
        <v>1</v>
      </c>
      <c r="H18" s="435">
        <f t="shared" si="0"/>
        <v>379</v>
      </c>
      <c r="I18" s="436" t="s">
        <v>487</v>
      </c>
      <c r="J18" s="263">
        <v>500</v>
      </c>
      <c r="K18" s="263">
        <f t="shared" si="1"/>
        <v>0.75800000000000001</v>
      </c>
      <c r="L18" s="263">
        <f t="shared" si="2"/>
        <v>6.0640000000000001</v>
      </c>
      <c r="M18" s="442" t="s">
        <v>473</v>
      </c>
      <c r="N18" s="443">
        <v>1</v>
      </c>
      <c r="O18" s="434">
        <v>22.05</v>
      </c>
      <c r="P18" s="438">
        <f>O18*L18</f>
        <v>133.71120000000002</v>
      </c>
      <c r="Q18" s="439"/>
      <c r="R18" s="434"/>
      <c r="S18" s="435"/>
      <c r="T18" s="478">
        <f t="shared" si="3"/>
        <v>512.71119999999996</v>
      </c>
      <c r="U18" s="436">
        <f t="shared" si="4"/>
        <v>1.3528</v>
      </c>
      <c r="V18" s="441" t="str">
        <f t="shared" si="5"/>
        <v>sf</v>
      </c>
    </row>
    <row r="19" spans="1:22" x14ac:dyDescent="0.2">
      <c r="A19" s="431"/>
      <c r="B19" s="281"/>
      <c r="C19" s="43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78"/>
      <c r="U19" s="436"/>
      <c r="V19" s="441"/>
    </row>
    <row r="20" spans="1:22" ht="15" x14ac:dyDescent="0.25">
      <c r="A20" s="444"/>
      <c r="B20" s="281"/>
      <c r="C20" s="432" t="s">
        <v>278</v>
      </c>
      <c r="D20" s="575">
        <v>9</v>
      </c>
      <c r="E20" s="263">
        <f>Finshes!I13</f>
        <v>782</v>
      </c>
      <c r="F20" s="263" t="s">
        <v>348</v>
      </c>
      <c r="G20" s="434">
        <v>2.71</v>
      </c>
      <c r="H20" s="435">
        <f t="shared" si="0"/>
        <v>2119.2199999999998</v>
      </c>
      <c r="I20" s="436" t="s">
        <v>581</v>
      </c>
      <c r="J20" s="263">
        <v>190</v>
      </c>
      <c r="K20" s="263">
        <f t="shared" si="1"/>
        <v>4.1157894736842104</v>
      </c>
      <c r="L20" s="263">
        <f t="shared" si="2"/>
        <v>32.926315789473684</v>
      </c>
      <c r="M20" s="263" t="s">
        <v>582</v>
      </c>
      <c r="N20" s="437">
        <v>2</v>
      </c>
      <c r="O20" s="434">
        <v>20.38</v>
      </c>
      <c r="P20" s="438">
        <f>O22*L20</f>
        <v>1870.5440000000001</v>
      </c>
      <c r="Q20" s="439"/>
      <c r="R20" s="434"/>
      <c r="S20" s="435"/>
      <c r="T20" s="478">
        <f t="shared" si="3"/>
        <v>3989.7640000000001</v>
      </c>
      <c r="U20" s="436">
        <f t="shared" si="4"/>
        <v>5.1020000000000003</v>
      </c>
      <c r="V20" s="441" t="str">
        <f t="shared" si="5"/>
        <v>sf</v>
      </c>
    </row>
    <row r="21" spans="1:22" x14ac:dyDescent="0.2">
      <c r="A21" s="431"/>
      <c r="B21" s="281"/>
      <c r="C21" s="432"/>
      <c r="D21" s="263"/>
      <c r="E21" s="263"/>
      <c r="F21" s="263"/>
      <c r="G21" s="434"/>
      <c r="H21" s="435"/>
      <c r="I21" s="436"/>
      <c r="J21" s="263"/>
      <c r="K21" s="263"/>
      <c r="L21" s="263"/>
      <c r="M21" s="263" t="s">
        <v>583</v>
      </c>
      <c r="N21" s="437">
        <v>1</v>
      </c>
      <c r="O21" s="434">
        <v>16.05</v>
      </c>
      <c r="P21" s="438"/>
      <c r="Q21" s="439"/>
      <c r="R21" s="434"/>
      <c r="S21" s="435"/>
      <c r="T21" s="478">
        <f t="shared" si="3"/>
        <v>0</v>
      </c>
      <c r="U21" s="436"/>
      <c r="V21" s="441"/>
    </row>
    <row r="22" spans="1:22" x14ac:dyDescent="0.2">
      <c r="A22" s="431"/>
      <c r="B22" s="281"/>
      <c r="C22" s="43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>
        <f>O20*N20+O21</f>
        <v>56.81</v>
      </c>
      <c r="P22" s="438"/>
      <c r="Q22" s="439"/>
      <c r="R22" s="434"/>
      <c r="S22" s="435"/>
      <c r="T22" s="478">
        <f t="shared" si="3"/>
        <v>0</v>
      </c>
      <c r="U22" s="436"/>
      <c r="V22" s="441"/>
    </row>
    <row r="23" spans="1:22" x14ac:dyDescent="0.2">
      <c r="A23" s="431"/>
      <c r="B23" s="281"/>
      <c r="C23" s="43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43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43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43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43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43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43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43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x14ac:dyDescent="0.2">
      <c r="A31" s="431"/>
      <c r="B31" s="281"/>
      <c r="C31" s="43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43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43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43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43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43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43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43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43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43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44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9"/>
      <c r="D42" s="460"/>
      <c r="E42" s="460"/>
      <c r="F42" s="460"/>
      <c r="G42" s="460"/>
      <c r="H42" s="461">
        <f>SUM(H10:H24)</f>
        <v>28561.920000000002</v>
      </c>
      <c r="I42" s="462"/>
      <c r="J42" s="463"/>
      <c r="K42" s="461">
        <f>SUM(K8:K41)</f>
        <v>26.823971291866027</v>
      </c>
      <c r="L42" s="461">
        <f>SUM(L8:L41)</f>
        <v>214.59177033492821</v>
      </c>
      <c r="M42" s="462"/>
      <c r="N42" s="464"/>
      <c r="O42" s="463"/>
      <c r="P42" s="461">
        <f>SUM(P8:P41)</f>
        <v>11100.438472727274</v>
      </c>
      <c r="Q42" s="462"/>
      <c r="R42" s="463"/>
      <c r="S42" s="465">
        <f>SUM(S8:S41)</f>
        <v>0</v>
      </c>
      <c r="T42" s="461">
        <f>SUM(T8:T41)</f>
        <v>39662.358472727276</v>
      </c>
      <c r="U42" s="467" t="s">
        <v>397</v>
      </c>
      <c r="V42" s="468"/>
    </row>
    <row r="43" spans="1:22" x14ac:dyDescent="0.2">
      <c r="C43" s="469" t="s">
        <v>585</v>
      </c>
      <c r="N43" s="470"/>
      <c r="S43" s="471">
        <v>0.3</v>
      </c>
      <c r="T43" s="503">
        <f>T42*1.3</f>
        <v>51561.06601454546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Finshes!A1" display="Finshes!A1"/>
    <hyperlink ref="D15" location="Finshes!A1" display="Finshes!A1"/>
    <hyperlink ref="D18" location="Finshes!A1" display="Finshes!A1"/>
    <hyperlink ref="D20" location="Finshes!A1" display="Finshes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C16" sqref="C16"/>
    </sheetView>
  </sheetViews>
  <sheetFormatPr defaultRowHeight="12.75" x14ac:dyDescent="0.2"/>
  <cols>
    <col min="1" max="2" width="2.7109375" style="292" customWidth="1"/>
    <col min="3" max="3" width="15.85546875" style="292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290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715</v>
      </c>
      <c r="U1" s="657"/>
      <c r="V1" s="657"/>
    </row>
    <row r="2" spans="1:24" ht="15" x14ac:dyDescent="0.25">
      <c r="A2" s="290"/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291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662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291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75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525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526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x14ac:dyDescent="0.2">
      <c r="A9" s="431"/>
      <c r="B9" s="281"/>
      <c r="C9" s="262"/>
      <c r="D9" s="263"/>
      <c r="E9" s="263"/>
      <c r="F9" s="263"/>
      <c r="G9" s="434"/>
      <c r="H9" s="435"/>
      <c r="I9" s="436"/>
      <c r="J9" s="263"/>
      <c r="K9" s="263"/>
      <c r="L9" s="263"/>
      <c r="M9" s="263"/>
      <c r="N9" s="437"/>
      <c r="O9" s="434"/>
      <c r="P9" s="438"/>
      <c r="Q9" s="439"/>
      <c r="R9" s="434"/>
      <c r="S9" s="435"/>
      <c r="T9" s="478"/>
      <c r="U9" s="436"/>
      <c r="V9" s="441"/>
    </row>
    <row r="10" spans="1:24" ht="15" x14ac:dyDescent="0.25">
      <c r="A10" s="431"/>
      <c r="B10" s="281"/>
      <c r="C10" s="262" t="s">
        <v>279</v>
      </c>
      <c r="D10" s="575">
        <v>9</v>
      </c>
      <c r="E10" s="263">
        <f>Finshes!I19</f>
        <v>1342</v>
      </c>
      <c r="F10" s="263" t="s">
        <v>42</v>
      </c>
      <c r="G10" s="434">
        <v>0.27</v>
      </c>
      <c r="H10" s="435">
        <f t="shared" ref="H10:H16" si="0">G10*E10</f>
        <v>362.34000000000003</v>
      </c>
      <c r="I10" s="436" t="s">
        <v>539</v>
      </c>
      <c r="J10" s="263">
        <v>2000</v>
      </c>
      <c r="K10" s="263">
        <f t="shared" ref="K10:K16" si="1">E10/J10</f>
        <v>0.67100000000000004</v>
      </c>
      <c r="L10" s="263">
        <f t="shared" ref="L10:L16" si="2">8*K10</f>
        <v>5.3680000000000003</v>
      </c>
      <c r="M10" s="442" t="s">
        <v>473</v>
      </c>
      <c r="N10" s="443">
        <v>2</v>
      </c>
      <c r="O10" s="434">
        <v>22.05</v>
      </c>
      <c r="P10" s="438">
        <f>O10*N10*L10</f>
        <v>236.72880000000004</v>
      </c>
      <c r="Q10" s="439"/>
      <c r="R10" s="434"/>
      <c r="S10" s="435"/>
      <c r="T10" s="478">
        <f t="shared" ref="T10:T16" si="3">S10+P10+H10</f>
        <v>599.06880000000001</v>
      </c>
      <c r="U10" s="436">
        <f t="shared" ref="U10:U16" si="4">T10/E10</f>
        <v>0.44640000000000002</v>
      </c>
      <c r="V10" s="441" t="str">
        <f t="shared" ref="V10:V16" si="5">F10</f>
        <v>SF</v>
      </c>
    </row>
    <row r="11" spans="1:24" x14ac:dyDescent="0.2">
      <c r="A11" s="444"/>
      <c r="B11" s="281"/>
      <c r="C11" s="262"/>
      <c r="D11" s="263"/>
      <c r="E11" s="263"/>
      <c r="F11" s="263"/>
      <c r="G11" s="434"/>
      <c r="H11" s="435"/>
      <c r="I11" s="436"/>
      <c r="J11" s="263"/>
      <c r="K11" s="263"/>
      <c r="L11" s="263"/>
      <c r="M11" s="263"/>
      <c r="N11" s="437"/>
      <c r="O11" s="434"/>
      <c r="P11" s="438"/>
      <c r="Q11" s="439"/>
      <c r="R11" s="434"/>
      <c r="S11" s="435"/>
      <c r="T11" s="478"/>
      <c r="U11" s="436"/>
      <c r="V11" s="441"/>
    </row>
    <row r="12" spans="1:24" ht="15" x14ac:dyDescent="0.25">
      <c r="A12" s="431"/>
      <c r="B12" s="281"/>
      <c r="C12" s="262" t="s">
        <v>247</v>
      </c>
      <c r="D12" s="575">
        <v>9</v>
      </c>
      <c r="E12" s="476">
        <f>Finshes!I20</f>
        <v>4960</v>
      </c>
      <c r="F12" s="263" t="s">
        <v>348</v>
      </c>
      <c r="G12" s="434">
        <v>1.05</v>
      </c>
      <c r="H12" s="435">
        <f t="shared" si="0"/>
        <v>5208</v>
      </c>
      <c r="I12" s="436" t="s">
        <v>491</v>
      </c>
      <c r="J12" s="263">
        <v>525</v>
      </c>
      <c r="K12" s="263">
        <f t="shared" si="1"/>
        <v>9.4476190476190478</v>
      </c>
      <c r="L12" s="263">
        <f t="shared" si="2"/>
        <v>75.580952380952382</v>
      </c>
      <c r="M12" s="442" t="s">
        <v>473</v>
      </c>
      <c r="N12" s="443">
        <v>2</v>
      </c>
      <c r="O12" s="434">
        <v>22.05</v>
      </c>
      <c r="P12" s="438">
        <f>O12*N12*L12</f>
        <v>3333.1200000000003</v>
      </c>
      <c r="Q12" s="439"/>
      <c r="R12" s="434"/>
      <c r="S12" s="435"/>
      <c r="T12" s="478">
        <f t="shared" si="3"/>
        <v>8541.1200000000008</v>
      </c>
      <c r="U12" s="436">
        <f t="shared" si="4"/>
        <v>1.7220000000000002</v>
      </c>
      <c r="V12" s="441" t="str">
        <f t="shared" si="5"/>
        <v>sf</v>
      </c>
    </row>
    <row r="13" spans="1:24" x14ac:dyDescent="0.2">
      <c r="A13" s="431"/>
      <c r="B13" s="281"/>
      <c r="C13" s="262"/>
      <c r="D13" s="263"/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/>
      <c r="U13" s="436"/>
      <c r="V13" s="441"/>
    </row>
    <row r="14" spans="1:24" ht="15" x14ac:dyDescent="0.25">
      <c r="A14" s="444"/>
      <c r="B14" s="281"/>
      <c r="C14" s="262" t="s">
        <v>586</v>
      </c>
      <c r="D14" s="575">
        <v>9</v>
      </c>
      <c r="E14" s="263">
        <f>Finshes!I28</f>
        <v>3320</v>
      </c>
      <c r="F14" s="263" t="s">
        <v>348</v>
      </c>
      <c r="G14" s="434">
        <v>1.29</v>
      </c>
      <c r="H14" s="435">
        <f t="shared" si="0"/>
        <v>4282.8</v>
      </c>
      <c r="I14" s="436" t="s">
        <v>491</v>
      </c>
      <c r="J14" s="263">
        <v>640</v>
      </c>
      <c r="K14" s="263">
        <f t="shared" si="1"/>
        <v>5.1875</v>
      </c>
      <c r="L14" s="263">
        <f t="shared" si="2"/>
        <v>41.5</v>
      </c>
      <c r="M14" s="442" t="s">
        <v>473</v>
      </c>
      <c r="N14" s="443">
        <v>2</v>
      </c>
      <c r="O14" s="434">
        <v>22.05</v>
      </c>
      <c r="P14" s="438">
        <f>O14*N14*L14</f>
        <v>1830.15</v>
      </c>
      <c r="Q14" s="439"/>
      <c r="R14" s="434"/>
      <c r="S14" s="435"/>
      <c r="T14" s="478">
        <f t="shared" si="3"/>
        <v>6112.9500000000007</v>
      </c>
      <c r="U14" s="436">
        <f t="shared" si="4"/>
        <v>1.8412500000000003</v>
      </c>
      <c r="V14" s="441" t="str">
        <f t="shared" si="5"/>
        <v>sf</v>
      </c>
    </row>
    <row r="15" spans="1:24" x14ac:dyDescent="0.2">
      <c r="A15" s="431"/>
      <c r="B15" s="281"/>
      <c r="C15" s="262"/>
      <c r="D15" s="263"/>
      <c r="E15" s="263"/>
      <c r="F15" s="263"/>
      <c r="G15" s="434"/>
      <c r="H15" s="435"/>
      <c r="I15" s="436"/>
      <c r="J15" s="263"/>
      <c r="K15" s="263"/>
      <c r="L15" s="263"/>
      <c r="M15" s="263"/>
      <c r="N15" s="437"/>
      <c r="O15" s="434"/>
      <c r="P15" s="438"/>
      <c r="Q15" s="439"/>
      <c r="R15" s="434"/>
      <c r="S15" s="435"/>
      <c r="T15" s="478"/>
      <c r="U15" s="436"/>
      <c r="V15" s="441"/>
    </row>
    <row r="16" spans="1:24" ht="15" x14ac:dyDescent="0.25">
      <c r="A16" s="431"/>
      <c r="B16" s="281"/>
      <c r="C16" s="262" t="s">
        <v>807</v>
      </c>
      <c r="D16" s="575">
        <v>9</v>
      </c>
      <c r="E16" s="263">
        <f>Finshes!I24</f>
        <v>2029</v>
      </c>
      <c r="F16" s="263" t="s">
        <v>348</v>
      </c>
      <c r="G16" s="434">
        <v>0.97</v>
      </c>
      <c r="H16" s="435">
        <f t="shared" si="0"/>
        <v>1968.1299999999999</v>
      </c>
      <c r="I16" s="436" t="s">
        <v>487</v>
      </c>
      <c r="J16" s="263">
        <v>625</v>
      </c>
      <c r="K16" s="263">
        <f t="shared" si="1"/>
        <v>3.2464</v>
      </c>
      <c r="L16" s="263">
        <f t="shared" si="2"/>
        <v>25.9712</v>
      </c>
      <c r="M16" s="442" t="s">
        <v>473</v>
      </c>
      <c r="N16" s="443">
        <v>2</v>
      </c>
      <c r="O16" s="434">
        <v>22.05</v>
      </c>
      <c r="P16" s="438">
        <f>O16*N16*L16</f>
        <v>1145.3299200000001</v>
      </c>
      <c r="Q16" s="439"/>
      <c r="R16" s="434"/>
      <c r="S16" s="435"/>
      <c r="T16" s="478">
        <f t="shared" si="3"/>
        <v>3113.4599200000002</v>
      </c>
      <c r="U16" s="436">
        <f t="shared" si="4"/>
        <v>1.5344800000000001</v>
      </c>
      <c r="V16" s="441" t="str">
        <f t="shared" si="5"/>
        <v>sf</v>
      </c>
    </row>
    <row r="17" spans="1:22" x14ac:dyDescent="0.2">
      <c r="A17" s="444"/>
      <c r="B17" s="281"/>
      <c r="C17" s="26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262"/>
      <c r="D18" s="263"/>
      <c r="E18" s="263"/>
      <c r="F18" s="263"/>
      <c r="G18" s="434"/>
      <c r="H18" s="435"/>
      <c r="I18" s="436"/>
      <c r="J18" s="263"/>
      <c r="K18" s="263"/>
      <c r="L18" s="263"/>
      <c r="M18" s="263"/>
      <c r="N18" s="437"/>
      <c r="O18" s="434"/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26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26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/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26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26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x14ac:dyDescent="0.2">
      <c r="A23" s="431"/>
      <c r="B23" s="281"/>
      <c r="C23" s="26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26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26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26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26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26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26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26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x14ac:dyDescent="0.2">
      <c r="A31" s="431"/>
      <c r="B31" s="281"/>
      <c r="C31" s="26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26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26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26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26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26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26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26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26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26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52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8"/>
      <c r="D42" s="460"/>
      <c r="E42" s="460"/>
      <c r="F42" s="460"/>
      <c r="G42" s="460"/>
      <c r="H42" s="461">
        <f>SUM(H8:H41)</f>
        <v>11821.269999999999</v>
      </c>
      <c r="I42" s="462"/>
      <c r="J42" s="463"/>
      <c r="K42" s="461">
        <f>SUM(K8:K41)</f>
        <v>18.552519047619047</v>
      </c>
      <c r="L42" s="461">
        <f>SUM(L8:L41)</f>
        <v>148.42015238095237</v>
      </c>
      <c r="M42" s="462"/>
      <c r="N42" s="464"/>
      <c r="O42" s="463"/>
      <c r="P42" s="461">
        <f>SUM(P8:P41)</f>
        <v>6545.3287200000004</v>
      </c>
      <c r="Q42" s="462"/>
      <c r="R42" s="463"/>
      <c r="S42" s="465">
        <f>SUM(S8:S41)</f>
        <v>0</v>
      </c>
      <c r="T42" s="461">
        <f>SUM(T8:T41)</f>
        <v>18366.598720000002</v>
      </c>
      <c r="U42" s="467" t="s">
        <v>397</v>
      </c>
      <c r="V42" s="468"/>
    </row>
    <row r="43" spans="1:22" x14ac:dyDescent="0.2">
      <c r="C43" s="292" t="s">
        <v>587</v>
      </c>
      <c r="N43" s="470"/>
      <c r="S43" s="471">
        <v>0.3</v>
      </c>
      <c r="T43" s="503"/>
    </row>
    <row r="44" spans="1:22" x14ac:dyDescent="0.2">
      <c r="N44" s="470"/>
      <c r="T44" s="292">
        <f>T42*1.3</f>
        <v>23876.578336000002</v>
      </c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10" location="Finshes!A1" display="Finshes!A1"/>
    <hyperlink ref="D12" location="Finshes!A1" display="Finshes!A1"/>
    <hyperlink ref="D14" location="Finshes!A1" display="Finshes!A1"/>
    <hyperlink ref="D16" location="Finshes!A1" display="Finshes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28"/>
  <sheetViews>
    <sheetView workbookViewId="0">
      <pane ySplit="7" topLeftCell="A8" activePane="bottomLeft" state="frozen"/>
      <selection pane="bottomLeft" activeCell="I11" sqref="I11"/>
    </sheetView>
  </sheetViews>
  <sheetFormatPr defaultRowHeight="12.75" x14ac:dyDescent="0.2"/>
  <cols>
    <col min="1" max="2" width="2.7109375" style="292" customWidth="1"/>
    <col min="3" max="3" width="15.85546875" style="292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290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716</v>
      </c>
      <c r="U1" s="657"/>
      <c r="V1" s="657"/>
    </row>
    <row r="2" spans="1:24" ht="15" x14ac:dyDescent="0.25">
      <c r="A2" s="290"/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291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661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291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75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525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526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262" t="s">
        <v>641</v>
      </c>
      <c r="D9" s="575">
        <v>9</v>
      </c>
      <c r="E9" s="476">
        <f>Finshes!I19+Finshes!I20</f>
        <v>6302</v>
      </c>
      <c r="F9" s="263" t="s">
        <v>348</v>
      </c>
      <c r="G9" s="434">
        <v>0.55000000000000004</v>
      </c>
      <c r="H9" s="435">
        <f>G9*E9</f>
        <v>3466.1000000000004</v>
      </c>
      <c r="I9" s="436" t="s">
        <v>644</v>
      </c>
      <c r="J9" s="263">
        <v>1350</v>
      </c>
      <c r="K9" s="263">
        <f>E9/J9</f>
        <v>4.6681481481481484</v>
      </c>
      <c r="L9" s="263">
        <f>8*K9</f>
        <v>37.345185185185187</v>
      </c>
      <c r="M9" s="263" t="s">
        <v>640</v>
      </c>
      <c r="N9" s="437">
        <v>1</v>
      </c>
      <c r="O9" s="434">
        <v>19.12</v>
      </c>
      <c r="P9" s="438">
        <f>O9*L9</f>
        <v>714.0399407407408</v>
      </c>
      <c r="Q9" s="439"/>
      <c r="R9" s="434"/>
      <c r="S9" s="435"/>
      <c r="T9" s="478">
        <f>S9+P9+H9</f>
        <v>4180.1399407407407</v>
      </c>
      <c r="U9" s="436">
        <f>T9/E9</f>
        <v>0.66330370370370373</v>
      </c>
      <c r="V9" s="441" t="str">
        <f>F9</f>
        <v>sf</v>
      </c>
    </row>
    <row r="10" spans="1:24" x14ac:dyDescent="0.2">
      <c r="A10" s="431"/>
      <c r="B10" s="281"/>
      <c r="C10" s="262"/>
      <c r="D10" s="263"/>
      <c r="E10" s="263"/>
      <c r="F10" s="263"/>
      <c r="G10" s="434"/>
      <c r="H10" s="435"/>
      <c r="I10" s="436"/>
      <c r="J10" s="263"/>
      <c r="K10" s="263"/>
      <c r="L10" s="263"/>
      <c r="M10" s="442"/>
      <c r="N10" s="443"/>
      <c r="O10" s="434"/>
      <c r="P10" s="438"/>
      <c r="Q10" s="439"/>
      <c r="R10" s="434"/>
      <c r="S10" s="435"/>
      <c r="T10" s="478"/>
      <c r="U10" s="436"/>
      <c r="V10" s="441"/>
    </row>
    <row r="11" spans="1:24" ht="15" x14ac:dyDescent="0.25">
      <c r="A11" s="444"/>
      <c r="B11" s="281"/>
      <c r="C11" s="262" t="s">
        <v>642</v>
      </c>
      <c r="D11" s="575">
        <v>9</v>
      </c>
      <c r="E11" s="263">
        <f>'Doors and Windows'!M12</f>
        <v>18</v>
      </c>
      <c r="F11" s="263" t="s">
        <v>433</v>
      </c>
      <c r="G11" s="434">
        <v>3.45</v>
      </c>
      <c r="H11" s="435">
        <f>G11*E11</f>
        <v>62.1</v>
      </c>
      <c r="I11" s="436" t="s">
        <v>643</v>
      </c>
      <c r="J11" s="263">
        <v>10</v>
      </c>
      <c r="K11" s="263">
        <f>E11/J11</f>
        <v>1.8</v>
      </c>
      <c r="L11" s="263">
        <f>8*K11</f>
        <v>14.4</v>
      </c>
      <c r="M11" s="263" t="s">
        <v>640</v>
      </c>
      <c r="N11" s="437">
        <v>1</v>
      </c>
      <c r="O11" s="434">
        <v>19.12</v>
      </c>
      <c r="P11" s="438">
        <f>O11*L11</f>
        <v>275.32800000000003</v>
      </c>
      <c r="Q11" s="439"/>
      <c r="R11" s="434"/>
      <c r="S11" s="435"/>
      <c r="T11" s="478">
        <f>S11+P11+H11</f>
        <v>337.42800000000005</v>
      </c>
      <c r="U11" s="436">
        <f>T11/E11</f>
        <v>18.746000000000002</v>
      </c>
      <c r="V11" s="441" t="str">
        <f>F11</f>
        <v>ea</v>
      </c>
    </row>
    <row r="12" spans="1:24" x14ac:dyDescent="0.2">
      <c r="A12" s="431"/>
      <c r="B12" s="281"/>
      <c r="C12" s="26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x14ac:dyDescent="0.2">
      <c r="A13" s="431"/>
      <c r="B13" s="281"/>
      <c r="C13" s="262"/>
      <c r="D13" s="263"/>
      <c r="E13" s="263"/>
      <c r="F13" s="263"/>
      <c r="G13" s="434"/>
      <c r="H13" s="435"/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/>
      <c r="U13" s="436"/>
      <c r="V13" s="441"/>
    </row>
    <row r="14" spans="1:24" x14ac:dyDescent="0.2">
      <c r="A14" s="444"/>
      <c r="B14" s="281"/>
      <c r="C14" s="26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x14ac:dyDescent="0.2">
      <c r="A15" s="431"/>
      <c r="B15" s="281"/>
      <c r="C15" s="262"/>
      <c r="D15" s="263"/>
      <c r="E15" s="263"/>
      <c r="F15" s="263"/>
      <c r="G15" s="434"/>
      <c r="H15" s="435"/>
      <c r="I15" s="436"/>
      <c r="J15" s="263"/>
      <c r="K15" s="263"/>
      <c r="L15" s="263"/>
      <c r="M15" s="263"/>
      <c r="N15" s="437"/>
      <c r="O15" s="434"/>
      <c r="P15" s="438"/>
      <c r="Q15" s="439"/>
      <c r="R15" s="434"/>
      <c r="S15" s="435"/>
      <c r="T15" s="478"/>
      <c r="U15" s="436"/>
      <c r="V15" s="441"/>
    </row>
    <row r="16" spans="1:24" x14ac:dyDescent="0.2">
      <c r="A16" s="431"/>
      <c r="B16" s="281"/>
      <c r="C16" s="262"/>
      <c r="D16" s="263"/>
      <c r="E16" s="263"/>
      <c r="F16" s="263"/>
      <c r="G16" s="434"/>
      <c r="H16" s="435"/>
      <c r="I16" s="436"/>
      <c r="J16" s="263"/>
      <c r="K16" s="263"/>
      <c r="L16" s="263"/>
      <c r="M16" s="263"/>
      <c r="N16" s="437"/>
      <c r="O16" s="434"/>
      <c r="P16" s="438"/>
      <c r="Q16" s="439"/>
      <c r="R16" s="434"/>
      <c r="S16" s="435"/>
      <c r="T16" s="478"/>
      <c r="U16" s="436"/>
      <c r="V16" s="441"/>
    </row>
    <row r="17" spans="1:22" x14ac:dyDescent="0.2">
      <c r="A17" s="444"/>
      <c r="B17" s="281"/>
      <c r="C17" s="26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262"/>
      <c r="D18" s="263"/>
      <c r="E18" s="263"/>
      <c r="F18" s="263"/>
      <c r="G18" s="434"/>
      <c r="H18" s="435"/>
      <c r="I18" s="436"/>
      <c r="J18" s="263"/>
      <c r="K18" s="263"/>
      <c r="L18" s="263"/>
      <c r="M18" s="263"/>
      <c r="N18" s="437"/>
      <c r="O18" s="434"/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26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26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/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26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26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x14ac:dyDescent="0.2">
      <c r="A23" s="431"/>
      <c r="B23" s="281"/>
      <c r="C23" s="26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26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26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26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26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26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26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26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x14ac:dyDescent="0.2">
      <c r="A31" s="431"/>
      <c r="B31" s="281"/>
      <c r="C31" s="26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26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26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26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26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26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26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26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26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26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52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8"/>
      <c r="D42" s="460"/>
      <c r="E42" s="460"/>
      <c r="F42" s="460"/>
      <c r="G42" s="460"/>
      <c r="H42" s="461">
        <f>SUM(H8:H41)</f>
        <v>3528.2000000000003</v>
      </c>
      <c r="I42" s="462"/>
      <c r="J42" s="463"/>
      <c r="K42" s="461">
        <f>SUM(K8:K41)</f>
        <v>6.4681481481481482</v>
      </c>
      <c r="L42" s="461">
        <f>SUM(L8:L41)</f>
        <v>51.745185185185186</v>
      </c>
      <c r="M42" s="462"/>
      <c r="N42" s="464"/>
      <c r="O42" s="463"/>
      <c r="P42" s="461">
        <f>SUM(P8:P41)</f>
        <v>989.36794074074078</v>
      </c>
      <c r="Q42" s="462"/>
      <c r="R42" s="463"/>
      <c r="S42" s="465">
        <f>SUM(S8:S41)</f>
        <v>0</v>
      </c>
      <c r="T42" s="461">
        <f>SUM(T8:T41)</f>
        <v>4517.5679407407406</v>
      </c>
      <c r="U42" s="467" t="s">
        <v>397</v>
      </c>
      <c r="V42" s="468"/>
    </row>
    <row r="43" spans="1:22" x14ac:dyDescent="0.2">
      <c r="C43" s="292" t="s">
        <v>637</v>
      </c>
      <c r="N43" s="470"/>
      <c r="S43" s="471">
        <v>0.3</v>
      </c>
      <c r="T43" s="503">
        <f>T42*1.3</f>
        <v>5872.8383229629626</v>
      </c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Finshes!A1" display="Finshes!A1"/>
    <hyperlink ref="D11" location="Finshes!A1" display="Finshes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1"/>
  <sheetViews>
    <sheetView workbookViewId="0">
      <pane xSplit="14" ySplit="6" topLeftCell="P7" activePane="bottomRight" state="frozen"/>
      <selection pane="topRight" activeCell="O1" sqref="O1"/>
      <selection pane="bottomLeft" activeCell="A7" sqref="A7"/>
      <selection pane="bottomRight" activeCell="A23" sqref="A23:C23"/>
    </sheetView>
  </sheetViews>
  <sheetFormatPr defaultRowHeight="12.75" x14ac:dyDescent="0.2"/>
  <cols>
    <col min="1" max="3" width="9.140625" style="301"/>
    <col min="4" max="12" width="9.140625" style="292"/>
    <col min="13" max="13" width="10.85546875" style="292" customWidth="1"/>
    <col min="14" max="14" width="4.28515625" style="292" bestFit="1" customWidth="1"/>
    <col min="15" max="15" width="9.140625" style="292"/>
    <col min="16" max="16" width="9.140625" style="554"/>
    <col min="17" max="16384" width="9.140625" style="292"/>
  </cols>
  <sheetData>
    <row r="1" spans="1:19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717</v>
      </c>
      <c r="M1" s="620"/>
      <c r="N1" s="287"/>
      <c r="O1" s="302"/>
      <c r="P1" s="556"/>
    </row>
    <row r="2" spans="1:19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9" x14ac:dyDescent="0.2">
      <c r="A3" s="303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  <c r="P3" s="556"/>
    </row>
    <row r="4" spans="1:19" x14ac:dyDescent="0.2">
      <c r="A4" s="710" t="s">
        <v>18</v>
      </c>
      <c r="B4" s="710"/>
      <c r="C4" s="710"/>
      <c r="D4" s="711" t="s">
        <v>810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  <c r="P4" s="288"/>
    </row>
    <row r="5" spans="1:19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293"/>
      <c r="Q5" s="313"/>
      <c r="R5" s="314"/>
      <c r="S5" s="315"/>
    </row>
    <row r="6" spans="1:19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319" t="s">
        <v>742</v>
      </c>
      <c r="Q6" s="704" t="s">
        <v>40</v>
      </c>
      <c r="R6" s="705"/>
      <c r="S6" s="706"/>
    </row>
    <row r="7" spans="1:19" x14ac:dyDescent="0.2">
      <c r="A7" s="593"/>
      <c r="B7" s="594"/>
      <c r="C7" s="595"/>
      <c r="D7" s="322"/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558"/>
      <c r="Q7" s="707"/>
      <c r="R7" s="708"/>
      <c r="S7" s="709"/>
    </row>
    <row r="8" spans="1:19" ht="15" x14ac:dyDescent="0.25">
      <c r="A8" s="694" t="s">
        <v>288</v>
      </c>
      <c r="B8" s="695"/>
      <c r="C8" s="696"/>
      <c r="D8" s="564" t="s">
        <v>737</v>
      </c>
      <c r="E8" s="330"/>
      <c r="F8" s="331"/>
      <c r="G8" s="332"/>
      <c r="H8" s="333"/>
      <c r="I8" s="330"/>
      <c r="J8" s="24"/>
      <c r="K8" s="334"/>
      <c r="L8" s="333"/>
      <c r="M8" s="330"/>
      <c r="N8" s="333"/>
      <c r="O8" s="337"/>
      <c r="P8" s="560"/>
      <c r="Q8" s="671"/>
      <c r="R8" s="672"/>
      <c r="S8" s="673"/>
    </row>
    <row r="9" spans="1:19" x14ac:dyDescent="0.2">
      <c r="A9" s="668" t="s">
        <v>291</v>
      </c>
      <c r="B9" s="669"/>
      <c r="C9" s="670"/>
      <c r="D9" s="22"/>
      <c r="E9" s="330"/>
      <c r="F9" s="331"/>
      <c r="G9" s="332"/>
      <c r="H9" s="333"/>
      <c r="I9" s="330">
        <v>2</v>
      </c>
      <c r="J9" s="333" t="s">
        <v>131</v>
      </c>
      <c r="K9" s="334"/>
      <c r="L9" s="333"/>
      <c r="M9" s="330"/>
      <c r="N9" s="333"/>
      <c r="O9" s="337"/>
      <c r="P9" s="560"/>
      <c r="Q9" s="784" t="s">
        <v>323</v>
      </c>
      <c r="R9" s="785"/>
      <c r="S9" s="786"/>
    </row>
    <row r="10" spans="1:19" x14ac:dyDescent="0.2">
      <c r="A10" s="668" t="s">
        <v>292</v>
      </c>
      <c r="B10" s="669"/>
      <c r="C10" s="670"/>
      <c r="D10" s="22"/>
      <c r="E10" s="330"/>
      <c r="F10" s="331"/>
      <c r="G10" s="332"/>
      <c r="H10" s="333"/>
      <c r="I10" s="330">
        <v>2</v>
      </c>
      <c r="J10" s="333" t="s">
        <v>131</v>
      </c>
      <c r="K10" s="334"/>
      <c r="L10" s="333"/>
      <c r="M10" s="330"/>
      <c r="N10" s="333"/>
      <c r="O10" s="337"/>
      <c r="P10" s="560"/>
      <c r="Q10" s="671"/>
      <c r="R10" s="672"/>
      <c r="S10" s="673"/>
    </row>
    <row r="11" spans="1:19" x14ac:dyDescent="0.2">
      <c r="A11" s="668" t="s">
        <v>293</v>
      </c>
      <c r="B11" s="669"/>
      <c r="C11" s="670"/>
      <c r="D11" s="338"/>
      <c r="E11" s="330"/>
      <c r="F11" s="331"/>
      <c r="G11" s="332"/>
      <c r="H11" s="333"/>
      <c r="I11" s="330">
        <v>4</v>
      </c>
      <c r="J11" s="333" t="s">
        <v>131</v>
      </c>
      <c r="K11" s="334"/>
      <c r="L11" s="333"/>
      <c r="M11" s="330"/>
      <c r="N11" s="333"/>
      <c r="O11" s="337"/>
      <c r="P11" s="560"/>
      <c r="Q11" s="671"/>
      <c r="R11" s="672"/>
      <c r="S11" s="673"/>
    </row>
    <row r="12" spans="1:19" x14ac:dyDescent="0.2">
      <c r="A12" s="668" t="s">
        <v>294</v>
      </c>
      <c r="B12" s="669"/>
      <c r="C12" s="670"/>
      <c r="D12" s="338"/>
      <c r="E12" s="330"/>
      <c r="F12" s="331"/>
      <c r="G12" s="332"/>
      <c r="H12" s="333"/>
      <c r="I12" s="330">
        <v>4</v>
      </c>
      <c r="J12" s="333" t="s">
        <v>131</v>
      </c>
      <c r="K12" s="334"/>
      <c r="L12" s="333"/>
      <c r="M12" s="330"/>
      <c r="N12" s="333"/>
      <c r="O12" s="337"/>
      <c r="P12" s="560"/>
      <c r="Q12" s="671"/>
      <c r="R12" s="672"/>
      <c r="S12" s="673"/>
    </row>
    <row r="13" spans="1:19" x14ac:dyDescent="0.2">
      <c r="A13" s="668" t="s">
        <v>295</v>
      </c>
      <c r="B13" s="669"/>
      <c r="C13" s="670"/>
      <c r="D13" s="338"/>
      <c r="E13" s="330"/>
      <c r="F13" s="331"/>
      <c r="G13" s="332"/>
      <c r="H13" s="333"/>
      <c r="I13" s="330">
        <v>2</v>
      </c>
      <c r="J13" s="333" t="s">
        <v>131</v>
      </c>
      <c r="K13" s="334"/>
      <c r="L13" s="24"/>
      <c r="M13" s="330"/>
      <c r="N13" s="333"/>
      <c r="O13" s="337"/>
      <c r="P13" s="560"/>
      <c r="Q13" s="671"/>
      <c r="R13" s="672"/>
      <c r="S13" s="673"/>
    </row>
    <row r="14" spans="1:19" x14ac:dyDescent="0.2">
      <c r="A14" s="668" t="s">
        <v>811</v>
      </c>
      <c r="B14" s="669"/>
      <c r="C14" s="670"/>
      <c r="D14" s="338"/>
      <c r="E14" s="330"/>
      <c r="F14" s="331"/>
      <c r="G14" s="332"/>
      <c r="H14" s="333"/>
      <c r="I14" s="330">
        <v>2</v>
      </c>
      <c r="J14" s="333" t="s">
        <v>131</v>
      </c>
      <c r="K14" s="60"/>
      <c r="L14" s="333"/>
      <c r="M14" s="341"/>
      <c r="N14" s="33"/>
      <c r="O14" s="283"/>
      <c r="P14" s="559"/>
      <c r="Q14" s="671"/>
      <c r="R14" s="672"/>
      <c r="S14" s="673"/>
    </row>
    <row r="15" spans="1:19" x14ac:dyDescent="0.2">
      <c r="A15" s="668" t="s">
        <v>296</v>
      </c>
      <c r="B15" s="669"/>
      <c r="C15" s="670"/>
      <c r="D15" s="338"/>
      <c r="E15" s="330"/>
      <c r="F15" s="331"/>
      <c r="G15" s="332"/>
      <c r="H15" s="333"/>
      <c r="I15" s="330">
        <v>4</v>
      </c>
      <c r="J15" s="333" t="s">
        <v>131</v>
      </c>
      <c r="K15" s="334"/>
      <c r="L15" s="333"/>
      <c r="M15" s="343"/>
      <c r="N15" s="344"/>
      <c r="O15" s="337"/>
      <c r="P15" s="560"/>
      <c r="Q15" s="671"/>
      <c r="R15" s="672"/>
      <c r="S15" s="673"/>
    </row>
    <row r="16" spans="1:19" x14ac:dyDescent="0.2">
      <c r="A16" s="609" t="s">
        <v>297</v>
      </c>
      <c r="B16" s="610"/>
      <c r="C16" s="611"/>
      <c r="D16" s="338"/>
      <c r="E16" s="330"/>
      <c r="F16" s="331"/>
      <c r="G16" s="332"/>
      <c r="H16" s="333"/>
      <c r="I16" s="330">
        <v>3</v>
      </c>
      <c r="J16" s="333" t="s">
        <v>131</v>
      </c>
      <c r="K16" s="334"/>
      <c r="L16" s="333"/>
      <c r="M16" s="343"/>
      <c r="N16" s="344"/>
      <c r="O16" s="337"/>
      <c r="P16" s="560"/>
      <c r="Q16" s="671"/>
      <c r="R16" s="672"/>
      <c r="S16" s="673"/>
    </row>
    <row r="17" spans="1:19" x14ac:dyDescent="0.2">
      <c r="A17" s="609" t="s">
        <v>298</v>
      </c>
      <c r="B17" s="610"/>
      <c r="C17" s="611"/>
      <c r="D17" s="338"/>
      <c r="E17" s="330"/>
      <c r="F17" s="331"/>
      <c r="G17" s="332"/>
      <c r="H17" s="333"/>
      <c r="I17" s="330">
        <v>1</v>
      </c>
      <c r="J17" s="333" t="s">
        <v>131</v>
      </c>
      <c r="K17" s="334"/>
      <c r="L17" s="333"/>
      <c r="M17" s="343"/>
      <c r="N17" s="344"/>
      <c r="O17" s="337"/>
      <c r="P17" s="560"/>
      <c r="Q17" s="671"/>
      <c r="R17" s="672"/>
      <c r="S17" s="673"/>
    </row>
    <row r="18" spans="1:19" x14ac:dyDescent="0.2">
      <c r="A18" s="668" t="s">
        <v>299</v>
      </c>
      <c r="B18" s="669"/>
      <c r="C18" s="670"/>
      <c r="D18" s="22"/>
      <c r="E18" s="330"/>
      <c r="F18" s="331"/>
      <c r="G18" s="332"/>
      <c r="H18" s="333"/>
      <c r="I18" s="330">
        <v>2</v>
      </c>
      <c r="J18" s="333" t="s">
        <v>131</v>
      </c>
      <c r="K18" s="346"/>
      <c r="L18" s="24"/>
      <c r="M18" s="343"/>
      <c r="N18" s="344"/>
      <c r="O18" s="337"/>
      <c r="P18" s="560"/>
      <c r="Q18" s="671"/>
      <c r="R18" s="672"/>
      <c r="S18" s="673"/>
    </row>
    <row r="19" spans="1:19" x14ac:dyDescent="0.2">
      <c r="A19" s="668" t="s">
        <v>300</v>
      </c>
      <c r="B19" s="669"/>
      <c r="C19" s="670"/>
      <c r="D19" s="22"/>
      <c r="E19" s="330"/>
      <c r="F19" s="331"/>
      <c r="G19" s="332"/>
      <c r="H19" s="333"/>
      <c r="I19" s="330">
        <v>2</v>
      </c>
      <c r="J19" s="333" t="s">
        <v>131</v>
      </c>
      <c r="K19" s="334"/>
      <c r="L19" s="333"/>
      <c r="M19" s="343"/>
      <c r="N19" s="344"/>
      <c r="O19" s="337"/>
      <c r="P19" s="560"/>
      <c r="Q19" s="671"/>
      <c r="R19" s="672"/>
      <c r="S19" s="673"/>
    </row>
    <row r="20" spans="1:19" x14ac:dyDescent="0.2">
      <c r="A20" s="668" t="s">
        <v>301</v>
      </c>
      <c r="B20" s="669"/>
      <c r="C20" s="670"/>
      <c r="D20" s="338"/>
      <c r="E20" s="330"/>
      <c r="F20" s="331"/>
      <c r="G20" s="332"/>
      <c r="H20" s="333"/>
      <c r="I20" s="485">
        <v>2</v>
      </c>
      <c r="J20" s="333" t="s">
        <v>131</v>
      </c>
      <c r="K20" s="334"/>
      <c r="L20" s="333"/>
      <c r="M20" s="343"/>
      <c r="N20" s="344"/>
      <c r="O20" s="337"/>
      <c r="P20" s="560"/>
      <c r="Q20" s="671"/>
      <c r="R20" s="672"/>
      <c r="S20" s="673"/>
    </row>
    <row r="21" spans="1:19" x14ac:dyDescent="0.2">
      <c r="A21" s="609"/>
      <c r="B21" s="610"/>
      <c r="C21" s="611"/>
      <c r="D21" s="338"/>
      <c r="E21" s="330"/>
      <c r="F21" s="331"/>
      <c r="G21" s="332"/>
      <c r="H21" s="333"/>
      <c r="I21" s="330"/>
      <c r="J21" s="333"/>
      <c r="K21" s="334"/>
      <c r="L21" s="333"/>
      <c r="M21" s="343"/>
      <c r="N21" s="344"/>
      <c r="O21" s="337"/>
      <c r="P21" s="560"/>
      <c r="Q21" s="671"/>
      <c r="R21" s="672"/>
      <c r="S21" s="673"/>
    </row>
    <row r="22" spans="1:19" x14ac:dyDescent="0.2">
      <c r="A22" s="668"/>
      <c r="B22" s="669"/>
      <c r="C22" s="670"/>
      <c r="D22" s="338"/>
      <c r="E22" s="330"/>
      <c r="F22" s="331"/>
      <c r="G22" s="332"/>
      <c r="H22" s="333"/>
      <c r="I22" s="330"/>
      <c r="J22" s="333"/>
      <c r="K22" s="334"/>
      <c r="L22" s="333"/>
      <c r="M22" s="343"/>
      <c r="N22" s="344"/>
      <c r="O22" s="337"/>
      <c r="P22" s="560"/>
      <c r="Q22" s="671"/>
      <c r="R22" s="672"/>
      <c r="S22" s="673"/>
    </row>
    <row r="23" spans="1:19" ht="15" x14ac:dyDescent="0.25">
      <c r="A23" s="694" t="s">
        <v>645</v>
      </c>
      <c r="B23" s="695"/>
      <c r="C23" s="696"/>
      <c r="D23" s="338" t="s">
        <v>738</v>
      </c>
      <c r="E23" s="330"/>
      <c r="F23" s="331"/>
      <c r="G23" s="332"/>
      <c r="H23" s="333"/>
      <c r="I23" s="330">
        <v>4</v>
      </c>
      <c r="J23" s="333" t="s">
        <v>131</v>
      </c>
      <c r="K23" s="334"/>
      <c r="L23" s="333"/>
      <c r="M23" s="339">
        <f>I23</f>
        <v>4</v>
      </c>
      <c r="N23" s="336" t="s">
        <v>131</v>
      </c>
      <c r="O23" s="337"/>
      <c r="P23" s="570" t="s">
        <v>757</v>
      </c>
      <c r="Q23" s="671"/>
      <c r="R23" s="672"/>
      <c r="S23" s="673"/>
    </row>
    <row r="24" spans="1:19" x14ac:dyDescent="0.2">
      <c r="A24" s="686"/>
      <c r="B24" s="687"/>
      <c r="C24" s="688"/>
      <c r="D24" s="338"/>
      <c r="E24" s="330"/>
      <c r="F24" s="331"/>
      <c r="G24" s="332"/>
      <c r="H24" s="333"/>
      <c r="I24" s="330"/>
      <c r="J24" s="333"/>
      <c r="K24" s="334"/>
      <c r="L24" s="333"/>
      <c r="M24" s="343"/>
      <c r="N24" s="344"/>
      <c r="O24" s="337"/>
      <c r="P24" s="560"/>
      <c r="Q24" s="671"/>
      <c r="R24" s="672"/>
      <c r="S24" s="673"/>
    </row>
    <row r="25" spans="1:19" ht="15" x14ac:dyDescent="0.25">
      <c r="A25" s="690" t="s">
        <v>646</v>
      </c>
      <c r="B25" s="669"/>
      <c r="C25" s="670"/>
      <c r="D25" s="565" t="s">
        <v>737</v>
      </c>
      <c r="E25" s="330"/>
      <c r="F25" s="331"/>
      <c r="G25" s="332"/>
      <c r="H25" s="333"/>
      <c r="I25" s="347">
        <v>2</v>
      </c>
      <c r="J25" s="333" t="s">
        <v>131</v>
      </c>
      <c r="K25" s="334"/>
      <c r="L25" s="333"/>
      <c r="M25" s="335">
        <f>I25</f>
        <v>2</v>
      </c>
      <c r="N25" s="336" t="s">
        <v>131</v>
      </c>
      <c r="O25" s="337"/>
      <c r="P25" s="570" t="s">
        <v>757</v>
      </c>
      <c r="Q25" s="671"/>
      <c r="R25" s="672"/>
      <c r="S25" s="673"/>
    </row>
    <row r="26" spans="1:19" x14ac:dyDescent="0.2">
      <c r="A26" s="690"/>
      <c r="B26" s="669"/>
      <c r="C26" s="670"/>
      <c r="D26" s="348"/>
      <c r="E26" s="330"/>
      <c r="F26" s="331"/>
      <c r="G26" s="332"/>
      <c r="H26" s="333"/>
      <c r="I26" s="330"/>
      <c r="J26" s="333"/>
      <c r="K26" s="334"/>
      <c r="L26" s="333"/>
      <c r="M26" s="343"/>
      <c r="N26" s="344"/>
      <c r="O26" s="337"/>
      <c r="P26" s="560"/>
      <c r="Q26" s="671"/>
      <c r="R26" s="672"/>
      <c r="S26" s="673"/>
    </row>
    <row r="27" spans="1:19" ht="15" x14ac:dyDescent="0.25">
      <c r="A27" s="690" t="s">
        <v>647</v>
      </c>
      <c r="B27" s="669"/>
      <c r="C27" s="670"/>
      <c r="D27" s="348" t="s">
        <v>737</v>
      </c>
      <c r="E27" s="330"/>
      <c r="F27" s="331"/>
      <c r="G27" s="332"/>
      <c r="H27" s="333"/>
      <c r="I27" s="330">
        <v>4</v>
      </c>
      <c r="J27" s="333" t="s">
        <v>131</v>
      </c>
      <c r="K27" s="334"/>
      <c r="L27" s="333"/>
      <c r="M27" s="339">
        <f>I27</f>
        <v>4</v>
      </c>
      <c r="N27" s="336" t="s">
        <v>131</v>
      </c>
      <c r="O27" s="337"/>
      <c r="P27" s="570" t="s">
        <v>757</v>
      </c>
      <c r="Q27" s="671"/>
      <c r="R27" s="672"/>
      <c r="S27" s="673"/>
    </row>
    <row r="28" spans="1:19" x14ac:dyDescent="0.2">
      <c r="A28" s="690"/>
      <c r="B28" s="669"/>
      <c r="C28" s="670"/>
      <c r="D28" s="348"/>
      <c r="E28" s="330"/>
      <c r="F28" s="331"/>
      <c r="G28" s="332"/>
      <c r="H28" s="333"/>
      <c r="I28" s="330"/>
      <c r="J28" s="333"/>
      <c r="K28" s="334"/>
      <c r="L28" s="333"/>
      <c r="M28" s="343"/>
      <c r="N28" s="344"/>
      <c r="O28" s="337"/>
      <c r="P28" s="560"/>
      <c r="Q28" s="671"/>
      <c r="R28" s="672"/>
      <c r="S28" s="673"/>
    </row>
    <row r="29" spans="1:19" x14ac:dyDescent="0.2">
      <c r="A29" s="690"/>
      <c r="B29" s="669"/>
      <c r="C29" s="670"/>
      <c r="D29" s="348"/>
      <c r="E29" s="330"/>
      <c r="F29" s="331"/>
      <c r="G29" s="332"/>
      <c r="H29" s="333"/>
      <c r="I29" s="330"/>
      <c r="J29" s="333"/>
      <c r="K29" s="334"/>
      <c r="L29" s="333"/>
      <c r="M29" s="343"/>
      <c r="N29" s="344"/>
      <c r="O29" s="337"/>
      <c r="P29" s="560"/>
      <c r="Q29" s="671"/>
      <c r="R29" s="672"/>
      <c r="S29" s="673"/>
    </row>
    <row r="30" spans="1:19" x14ac:dyDescent="0.2">
      <c r="A30" s="690"/>
      <c r="B30" s="669"/>
      <c r="C30" s="670"/>
      <c r="D30" s="348"/>
      <c r="E30" s="330"/>
      <c r="F30" s="331"/>
      <c r="G30" s="332"/>
      <c r="H30" s="333"/>
      <c r="I30" s="330"/>
      <c r="J30" s="333"/>
      <c r="K30" s="334"/>
      <c r="L30" s="333"/>
      <c r="M30" s="343"/>
      <c r="N30" s="344"/>
      <c r="O30" s="337"/>
      <c r="P30" s="560"/>
      <c r="Q30" s="671"/>
      <c r="R30" s="672"/>
      <c r="S30" s="673"/>
    </row>
    <row r="31" spans="1:19" x14ac:dyDescent="0.2">
      <c r="A31" s="690"/>
      <c r="B31" s="669"/>
      <c r="C31" s="670"/>
      <c r="D31" s="348"/>
      <c r="E31" s="330"/>
      <c r="F31" s="331"/>
      <c r="G31" s="332"/>
      <c r="H31" s="333"/>
      <c r="I31" s="330"/>
      <c r="J31" s="333"/>
      <c r="K31" s="334"/>
      <c r="L31" s="333"/>
      <c r="M31" s="343"/>
      <c r="N31" s="344"/>
      <c r="O31" s="337"/>
      <c r="P31" s="560"/>
      <c r="Q31" s="671"/>
      <c r="R31" s="672"/>
      <c r="S31" s="673"/>
    </row>
    <row r="32" spans="1:19" x14ac:dyDescent="0.2">
      <c r="A32" s="619"/>
      <c r="B32" s="620"/>
      <c r="C32" s="621"/>
      <c r="D32" s="338"/>
      <c r="E32" s="330"/>
      <c r="F32" s="331"/>
      <c r="G32" s="332"/>
      <c r="H32" s="333"/>
      <c r="I32" s="330"/>
      <c r="J32" s="333"/>
      <c r="K32" s="334"/>
      <c r="L32" s="333"/>
      <c r="M32" s="343"/>
      <c r="N32" s="344"/>
      <c r="O32" s="337"/>
      <c r="P32" s="560"/>
      <c r="Q32" s="671"/>
      <c r="R32" s="672"/>
      <c r="S32" s="673"/>
    </row>
    <row r="33" spans="1:19" x14ac:dyDescent="0.2">
      <c r="A33" s="668"/>
      <c r="B33" s="669"/>
      <c r="C33" s="670"/>
      <c r="D33" s="22"/>
      <c r="E33" s="330"/>
      <c r="F33" s="331"/>
      <c r="G33" s="332"/>
      <c r="H33" s="333"/>
      <c r="I33" s="330"/>
      <c r="J33" s="333"/>
      <c r="K33" s="334"/>
      <c r="L33" s="333"/>
      <c r="M33" s="343"/>
      <c r="N33" s="344"/>
      <c r="O33" s="337"/>
      <c r="P33" s="560"/>
      <c r="Q33" s="671"/>
      <c r="R33" s="672"/>
      <c r="S33" s="673"/>
    </row>
    <row r="34" spans="1:19" x14ac:dyDescent="0.2">
      <c r="A34" s="668"/>
      <c r="B34" s="669"/>
      <c r="C34" s="670"/>
      <c r="D34" s="338"/>
      <c r="E34" s="330"/>
      <c r="F34" s="331"/>
      <c r="G34" s="332"/>
      <c r="H34" s="333"/>
      <c r="I34" s="330"/>
      <c r="J34" s="333"/>
      <c r="K34" s="334"/>
      <c r="L34" s="24"/>
      <c r="M34" s="343"/>
      <c r="N34" s="344"/>
      <c r="O34" s="337"/>
      <c r="P34" s="560"/>
      <c r="Q34" s="671"/>
      <c r="R34" s="672"/>
      <c r="S34" s="673"/>
    </row>
    <row r="35" spans="1:19" x14ac:dyDescent="0.2">
      <c r="A35" s="668"/>
      <c r="B35" s="669"/>
      <c r="C35" s="670"/>
      <c r="D35" s="338"/>
      <c r="E35" s="330"/>
      <c r="F35" s="331"/>
      <c r="G35" s="332"/>
      <c r="H35" s="333"/>
      <c r="I35" s="330"/>
      <c r="J35" s="333"/>
      <c r="K35" s="60"/>
      <c r="L35" s="333"/>
      <c r="M35" s="341"/>
      <c r="N35" s="33"/>
      <c r="O35" s="337"/>
      <c r="P35" s="560"/>
      <c r="Q35" s="671"/>
      <c r="R35" s="672"/>
      <c r="S35" s="673"/>
    </row>
    <row r="36" spans="1:19" x14ac:dyDescent="0.2">
      <c r="A36" s="668"/>
      <c r="B36" s="669"/>
      <c r="C36" s="670"/>
      <c r="D36" s="338"/>
      <c r="E36" s="330"/>
      <c r="F36" s="331"/>
      <c r="G36" s="332"/>
      <c r="H36" s="333"/>
      <c r="I36" s="330"/>
      <c r="J36" s="333"/>
      <c r="K36" s="334"/>
      <c r="L36" s="333"/>
      <c r="M36" s="343"/>
      <c r="N36" s="344"/>
      <c r="O36" s="337"/>
      <c r="P36" s="560"/>
      <c r="Q36" s="671"/>
      <c r="R36" s="672"/>
      <c r="S36" s="673"/>
    </row>
    <row r="37" spans="1:19" x14ac:dyDescent="0.2">
      <c r="A37" s="612"/>
      <c r="B37" s="613"/>
      <c r="C37" s="614"/>
      <c r="D37" s="338"/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560"/>
      <c r="Q37" s="671"/>
      <c r="R37" s="672"/>
      <c r="S37" s="673"/>
    </row>
    <row r="38" spans="1:19" x14ac:dyDescent="0.2">
      <c r="A38" s="609"/>
      <c r="B38" s="610"/>
      <c r="C38" s="611"/>
      <c r="D38" s="338"/>
      <c r="E38" s="330"/>
      <c r="F38" s="331"/>
      <c r="G38" s="332"/>
      <c r="H38" s="333"/>
      <c r="I38" s="330"/>
      <c r="J38" s="333"/>
      <c r="K38" s="334"/>
      <c r="L38" s="333"/>
      <c r="M38" s="343"/>
      <c r="N38" s="344"/>
      <c r="O38" s="337"/>
      <c r="P38" s="560"/>
      <c r="Q38" s="671"/>
      <c r="R38" s="672"/>
      <c r="S38" s="673"/>
    </row>
    <row r="39" spans="1:19" x14ac:dyDescent="0.2">
      <c r="A39" s="668"/>
      <c r="B39" s="669"/>
      <c r="C39" s="670"/>
      <c r="D39" s="338"/>
      <c r="E39" s="330"/>
      <c r="F39" s="331"/>
      <c r="G39" s="332"/>
      <c r="H39" s="333"/>
      <c r="I39" s="347"/>
      <c r="J39" s="333"/>
      <c r="K39" s="334"/>
      <c r="L39" s="333"/>
      <c r="M39" s="343"/>
      <c r="N39" s="344"/>
      <c r="O39" s="337"/>
      <c r="P39" s="560"/>
      <c r="Q39" s="671"/>
      <c r="R39" s="672"/>
      <c r="S39" s="673"/>
    </row>
    <row r="40" spans="1:19" x14ac:dyDescent="0.2">
      <c r="A40" s="668"/>
      <c r="B40" s="669"/>
      <c r="C40" s="670"/>
      <c r="D40" s="338"/>
      <c r="E40" s="330"/>
      <c r="F40" s="331"/>
      <c r="G40" s="332"/>
      <c r="H40" s="333"/>
      <c r="I40" s="330"/>
      <c r="J40" s="333"/>
      <c r="K40" s="334"/>
      <c r="L40" s="333"/>
      <c r="M40" s="343"/>
      <c r="N40" s="344"/>
      <c r="O40" s="337"/>
      <c r="P40" s="560"/>
      <c r="Q40" s="671"/>
      <c r="R40" s="672"/>
      <c r="S40" s="673"/>
    </row>
    <row r="41" spans="1:19" x14ac:dyDescent="0.2">
      <c r="A41" s="609"/>
      <c r="B41" s="610"/>
      <c r="C41" s="611"/>
      <c r="D41" s="338"/>
      <c r="E41" s="330"/>
      <c r="F41" s="331"/>
      <c r="G41" s="332"/>
      <c r="H41" s="333"/>
      <c r="I41" s="330"/>
      <c r="J41" s="333"/>
      <c r="K41" s="334"/>
      <c r="L41" s="333"/>
      <c r="M41" s="343"/>
      <c r="N41" s="344"/>
      <c r="O41" s="337"/>
      <c r="P41" s="560"/>
      <c r="Q41" s="671"/>
      <c r="R41" s="672"/>
      <c r="S41" s="673"/>
    </row>
    <row r="42" spans="1:19" x14ac:dyDescent="0.2">
      <c r="A42" s="668"/>
      <c r="B42" s="669"/>
      <c r="C42" s="670"/>
      <c r="D42" s="338"/>
      <c r="E42" s="330"/>
      <c r="F42" s="331"/>
      <c r="G42" s="332"/>
      <c r="H42" s="333"/>
      <c r="I42" s="347"/>
      <c r="J42" s="333"/>
      <c r="K42" s="334"/>
      <c r="L42" s="333"/>
      <c r="M42" s="343"/>
      <c r="N42" s="344"/>
      <c r="O42" s="337"/>
      <c r="P42" s="560"/>
      <c r="Q42" s="671"/>
      <c r="R42" s="672"/>
      <c r="S42" s="673"/>
    </row>
    <row r="43" spans="1:19" x14ac:dyDescent="0.2">
      <c r="A43" s="668"/>
      <c r="B43" s="669"/>
      <c r="C43" s="670"/>
      <c r="D43" s="338"/>
      <c r="E43" s="330"/>
      <c r="F43" s="331"/>
      <c r="G43" s="332"/>
      <c r="H43" s="333"/>
      <c r="I43" s="347"/>
      <c r="J43" s="333"/>
      <c r="K43" s="334"/>
      <c r="L43" s="333"/>
      <c r="M43" s="343"/>
      <c r="N43" s="344"/>
      <c r="O43" s="337"/>
      <c r="P43" s="560"/>
      <c r="Q43" s="671"/>
      <c r="R43" s="672"/>
      <c r="S43" s="673"/>
    </row>
    <row r="44" spans="1:19" x14ac:dyDescent="0.2">
      <c r="A44" s="668"/>
      <c r="B44" s="669"/>
      <c r="C44" s="670"/>
      <c r="D44" s="338"/>
      <c r="E44" s="330"/>
      <c r="F44" s="331"/>
      <c r="G44" s="332"/>
      <c r="H44" s="333"/>
      <c r="I44" s="347"/>
      <c r="J44" s="333"/>
      <c r="K44" s="334"/>
      <c r="L44" s="333"/>
      <c r="M44" s="343"/>
      <c r="N44" s="344"/>
      <c r="O44" s="337"/>
      <c r="P44" s="560"/>
      <c r="Q44" s="671"/>
      <c r="R44" s="672"/>
      <c r="S44" s="673"/>
    </row>
    <row r="45" spans="1:19" x14ac:dyDescent="0.2">
      <c r="A45" s="609"/>
      <c r="B45" s="610"/>
      <c r="C45" s="611"/>
      <c r="D45" s="338"/>
      <c r="E45" s="330"/>
      <c r="F45" s="331"/>
      <c r="G45" s="332"/>
      <c r="H45" s="333"/>
      <c r="I45" s="330"/>
      <c r="J45" s="333"/>
      <c r="K45" s="334"/>
      <c r="L45" s="333"/>
      <c r="M45" s="343"/>
      <c r="N45" s="344"/>
      <c r="O45" s="337"/>
      <c r="P45" s="560"/>
      <c r="Q45" s="671"/>
      <c r="R45" s="672"/>
      <c r="S45" s="673"/>
    </row>
    <row r="46" spans="1:19" x14ac:dyDescent="0.2">
      <c r="A46" s="668"/>
      <c r="B46" s="669"/>
      <c r="C46" s="670"/>
      <c r="D46" s="338"/>
      <c r="E46" s="330"/>
      <c r="F46" s="331"/>
      <c r="G46" s="332"/>
      <c r="H46" s="333"/>
      <c r="I46" s="347"/>
      <c r="J46" s="24"/>
      <c r="K46" s="334"/>
      <c r="L46" s="333"/>
      <c r="M46" s="343"/>
      <c r="N46" s="344"/>
      <c r="O46" s="337"/>
      <c r="P46" s="560"/>
      <c r="Q46" s="671"/>
      <c r="R46" s="672"/>
      <c r="S46" s="673"/>
    </row>
    <row r="47" spans="1:19" x14ac:dyDescent="0.2">
      <c r="A47" s="668"/>
      <c r="B47" s="669"/>
      <c r="C47" s="670"/>
      <c r="D47" s="338"/>
      <c r="E47" s="330"/>
      <c r="F47" s="331"/>
      <c r="G47" s="332"/>
      <c r="H47" s="333"/>
      <c r="I47" s="347"/>
      <c r="J47" s="333"/>
      <c r="K47" s="334"/>
      <c r="L47" s="333"/>
      <c r="M47" s="343"/>
      <c r="N47" s="344"/>
      <c r="O47" s="337"/>
      <c r="P47" s="560"/>
      <c r="Q47" s="671"/>
      <c r="R47" s="672"/>
      <c r="S47" s="673"/>
    </row>
    <row r="48" spans="1:19" x14ac:dyDescent="0.2">
      <c r="A48" s="668"/>
      <c r="B48" s="669"/>
      <c r="C48" s="670"/>
      <c r="D48" s="338"/>
      <c r="E48" s="330"/>
      <c r="F48" s="331"/>
      <c r="G48" s="332"/>
      <c r="H48" s="333"/>
      <c r="I48" s="347"/>
      <c r="J48" s="333"/>
      <c r="K48" s="334"/>
      <c r="L48" s="333"/>
      <c r="M48" s="343"/>
      <c r="N48" s="344"/>
      <c r="O48" s="337"/>
      <c r="P48" s="560"/>
      <c r="Q48" s="671"/>
      <c r="R48" s="672"/>
      <c r="S48" s="673"/>
    </row>
    <row r="49" spans="1:19" x14ac:dyDescent="0.2">
      <c r="A49" s="668"/>
      <c r="B49" s="669"/>
      <c r="C49" s="670"/>
      <c r="D49" s="338"/>
      <c r="E49" s="330"/>
      <c r="F49" s="331"/>
      <c r="G49" s="332"/>
      <c r="H49" s="333"/>
      <c r="I49" s="347"/>
      <c r="J49" s="333"/>
      <c r="K49" s="334"/>
      <c r="L49" s="333"/>
      <c r="M49" s="343"/>
      <c r="N49" s="344"/>
      <c r="O49" s="337"/>
      <c r="P49" s="560"/>
      <c r="Q49" s="671"/>
      <c r="R49" s="672"/>
      <c r="S49" s="673"/>
    </row>
    <row r="50" spans="1:19" x14ac:dyDescent="0.2">
      <c r="A50" s="668"/>
      <c r="B50" s="669"/>
      <c r="C50" s="670"/>
      <c r="D50" s="338"/>
      <c r="E50" s="330"/>
      <c r="F50" s="331"/>
      <c r="G50" s="281"/>
      <c r="H50" s="333"/>
      <c r="I50" s="347"/>
      <c r="J50" s="333"/>
      <c r="K50" s="334"/>
      <c r="L50" s="333"/>
      <c r="M50" s="343"/>
      <c r="N50" s="344"/>
      <c r="O50" s="337"/>
      <c r="P50" s="560"/>
      <c r="Q50" s="671"/>
      <c r="R50" s="672"/>
      <c r="S50" s="673"/>
    </row>
    <row r="51" spans="1:19" x14ac:dyDescent="0.2">
      <c r="A51" s="609"/>
      <c r="B51" s="610"/>
      <c r="C51" s="611"/>
      <c r="D51" s="338"/>
      <c r="E51" s="330"/>
      <c r="F51" s="331"/>
      <c r="G51" s="332"/>
      <c r="H51" s="333"/>
      <c r="I51" s="330"/>
      <c r="J51" s="333"/>
      <c r="K51" s="334"/>
      <c r="L51" s="333"/>
      <c r="M51" s="343"/>
      <c r="N51" s="344"/>
      <c r="O51" s="337"/>
      <c r="P51" s="560"/>
      <c r="Q51" s="671"/>
      <c r="R51" s="672"/>
      <c r="S51" s="673"/>
    </row>
    <row r="52" spans="1:19" x14ac:dyDescent="0.2">
      <c r="A52" s="668"/>
      <c r="B52" s="669"/>
      <c r="C52" s="670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560"/>
      <c r="Q52" s="671"/>
      <c r="R52" s="672"/>
      <c r="S52" s="673"/>
    </row>
    <row r="53" spans="1:19" x14ac:dyDescent="0.2">
      <c r="A53" s="668"/>
      <c r="B53" s="669"/>
      <c r="C53" s="670"/>
      <c r="D53" s="338"/>
      <c r="E53" s="330"/>
      <c r="F53" s="331"/>
      <c r="G53" s="332"/>
      <c r="H53" s="333"/>
      <c r="I53" s="330"/>
      <c r="J53" s="333"/>
      <c r="K53" s="349"/>
      <c r="L53" s="24"/>
      <c r="M53" s="343"/>
      <c r="N53" s="344"/>
      <c r="O53" s="337"/>
      <c r="P53" s="560"/>
      <c r="Q53" s="671"/>
      <c r="R53" s="672"/>
      <c r="S53" s="673"/>
    </row>
    <row r="54" spans="1:19" x14ac:dyDescent="0.2">
      <c r="A54" s="668"/>
      <c r="B54" s="669"/>
      <c r="C54" s="670"/>
      <c r="D54" s="338"/>
      <c r="E54" s="330"/>
      <c r="F54" s="331"/>
      <c r="G54" s="332"/>
      <c r="H54" s="333"/>
      <c r="I54" s="330"/>
      <c r="J54" s="333"/>
      <c r="K54" s="60"/>
      <c r="L54" s="333"/>
      <c r="M54" s="341"/>
      <c r="N54" s="33"/>
      <c r="O54" s="337"/>
      <c r="P54" s="560"/>
      <c r="Q54" s="671"/>
      <c r="R54" s="672"/>
      <c r="S54" s="673"/>
    </row>
    <row r="55" spans="1:19" x14ac:dyDescent="0.2">
      <c r="A55" s="668"/>
      <c r="B55" s="669"/>
      <c r="C55" s="670"/>
      <c r="D55" s="338"/>
      <c r="E55" s="330"/>
      <c r="F55" s="331"/>
      <c r="G55" s="332"/>
      <c r="H55" s="333"/>
      <c r="I55" s="330"/>
      <c r="J55" s="333"/>
      <c r="K55" s="334"/>
      <c r="L55" s="333"/>
      <c r="M55" s="343"/>
      <c r="N55" s="344"/>
      <c r="O55" s="337"/>
      <c r="P55" s="560"/>
      <c r="Q55" s="671"/>
      <c r="R55" s="672"/>
      <c r="S55" s="673"/>
    </row>
    <row r="56" spans="1:19" x14ac:dyDescent="0.2">
      <c r="A56" s="612"/>
      <c r="B56" s="613"/>
      <c r="C56" s="614"/>
      <c r="D56" s="338"/>
      <c r="E56" s="330"/>
      <c r="F56" s="331"/>
      <c r="G56" s="332"/>
      <c r="H56" s="333"/>
      <c r="I56" s="330"/>
      <c r="J56" s="333"/>
      <c r="K56" s="334"/>
      <c r="L56" s="333"/>
      <c r="M56" s="343"/>
      <c r="N56" s="344"/>
      <c r="O56" s="337"/>
      <c r="P56" s="560"/>
      <c r="Q56" s="671"/>
      <c r="R56" s="672"/>
      <c r="S56" s="673"/>
    </row>
    <row r="57" spans="1:19" x14ac:dyDescent="0.2">
      <c r="A57" s="668"/>
      <c r="B57" s="669"/>
      <c r="C57" s="670"/>
      <c r="D57" s="22"/>
      <c r="E57" s="330"/>
      <c r="F57" s="331"/>
      <c r="G57" s="332"/>
      <c r="H57" s="333"/>
      <c r="I57" s="330"/>
      <c r="J57" s="24"/>
      <c r="K57" s="334"/>
      <c r="L57" s="333"/>
      <c r="M57" s="343"/>
      <c r="N57" s="344"/>
      <c r="O57" s="337"/>
      <c r="P57" s="560"/>
      <c r="Q57" s="671"/>
      <c r="R57" s="672"/>
      <c r="S57" s="673"/>
    </row>
    <row r="58" spans="1:19" x14ac:dyDescent="0.2">
      <c r="A58" s="668"/>
      <c r="B58" s="669"/>
      <c r="C58" s="670"/>
      <c r="D58" s="338"/>
      <c r="E58" s="330"/>
      <c r="F58" s="331"/>
      <c r="G58" s="332"/>
      <c r="H58" s="333"/>
      <c r="I58" s="347"/>
      <c r="J58" s="333"/>
      <c r="K58" s="334"/>
      <c r="L58" s="333"/>
      <c r="M58" s="343"/>
      <c r="N58" s="344"/>
      <c r="O58" s="337"/>
      <c r="P58" s="560"/>
      <c r="Q58" s="671"/>
      <c r="R58" s="672"/>
      <c r="S58" s="673"/>
    </row>
    <row r="59" spans="1:19" x14ac:dyDescent="0.2">
      <c r="A59" s="668"/>
      <c r="B59" s="669"/>
      <c r="C59" s="670"/>
      <c r="D59" s="338"/>
      <c r="E59" s="330"/>
      <c r="F59" s="331"/>
      <c r="G59" s="332"/>
      <c r="H59" s="333"/>
      <c r="I59" s="330"/>
      <c r="J59" s="333"/>
      <c r="K59" s="349"/>
      <c r="L59" s="24"/>
      <c r="M59" s="343"/>
      <c r="N59" s="344"/>
      <c r="O59" s="337"/>
      <c r="P59" s="560"/>
      <c r="Q59" s="671"/>
      <c r="R59" s="672"/>
      <c r="S59" s="673"/>
    </row>
    <row r="60" spans="1:19" x14ac:dyDescent="0.2">
      <c r="A60" s="689"/>
      <c r="B60" s="689"/>
      <c r="C60" s="690"/>
      <c r="D60" s="350"/>
      <c r="E60" s="334"/>
      <c r="F60" s="331"/>
      <c r="G60" s="331"/>
      <c r="H60" s="340"/>
      <c r="I60" s="334"/>
      <c r="J60" s="340"/>
      <c r="K60" s="60"/>
      <c r="L60" s="340"/>
      <c r="M60" s="351"/>
      <c r="N60" s="65"/>
      <c r="O60" s="352"/>
      <c r="P60" s="557"/>
      <c r="Q60" s="671"/>
      <c r="R60" s="672"/>
      <c r="S60" s="673"/>
    </row>
    <row r="61" spans="1:19" x14ac:dyDescent="0.2">
      <c r="A61" s="680"/>
      <c r="B61" s="681"/>
      <c r="C61" s="682"/>
      <c r="D61" s="63"/>
      <c r="E61" s="323"/>
      <c r="F61" s="324"/>
      <c r="G61" s="325"/>
      <c r="H61" s="326"/>
      <c r="I61" s="323"/>
      <c r="J61" s="326"/>
      <c r="K61" s="353"/>
      <c r="L61" s="326"/>
      <c r="M61" s="323"/>
      <c r="N61" s="326"/>
      <c r="O61" s="329"/>
      <c r="P61" s="558"/>
      <c r="Q61" s="671"/>
      <c r="R61" s="672"/>
      <c r="S61" s="673"/>
    </row>
    <row r="62" spans="1:19" x14ac:dyDescent="0.2">
      <c r="A62" s="668"/>
      <c r="B62" s="669"/>
      <c r="C62" s="670"/>
      <c r="D62" s="338"/>
      <c r="E62" s="330"/>
      <c r="F62" s="331"/>
      <c r="G62" s="332"/>
      <c r="H62" s="333"/>
      <c r="I62" s="330"/>
      <c r="J62" s="333"/>
      <c r="K62" s="334"/>
      <c r="L62" s="333"/>
      <c r="M62" s="330"/>
      <c r="N62" s="333"/>
      <c r="O62" s="337"/>
      <c r="P62" s="560"/>
      <c r="Q62" s="671"/>
      <c r="R62" s="672"/>
      <c r="S62" s="673"/>
    </row>
    <row r="63" spans="1:19" x14ac:dyDescent="0.2">
      <c r="A63" s="668"/>
      <c r="B63" s="669"/>
      <c r="C63" s="670"/>
      <c r="D63" s="338"/>
      <c r="E63" s="330"/>
      <c r="F63" s="331"/>
      <c r="G63" s="332"/>
      <c r="H63" s="333"/>
      <c r="I63" s="330"/>
      <c r="J63" s="333"/>
      <c r="K63" s="334"/>
      <c r="L63" s="333"/>
      <c r="M63" s="330"/>
      <c r="N63" s="333"/>
      <c r="O63" s="337"/>
      <c r="P63" s="560"/>
      <c r="Q63" s="671"/>
      <c r="R63" s="672"/>
      <c r="S63" s="673"/>
    </row>
    <row r="64" spans="1:19" x14ac:dyDescent="0.2">
      <c r="A64" s="668"/>
      <c r="B64" s="669"/>
      <c r="C64" s="670"/>
      <c r="D64" s="338"/>
      <c r="E64" s="330"/>
      <c r="F64" s="331"/>
      <c r="G64" s="332"/>
      <c r="H64" s="333"/>
      <c r="I64" s="330"/>
      <c r="J64" s="333"/>
      <c r="K64" s="334"/>
      <c r="L64" s="24"/>
      <c r="M64" s="330"/>
      <c r="N64" s="333"/>
      <c r="O64" s="337"/>
      <c r="P64" s="560"/>
      <c r="Q64" s="671"/>
      <c r="R64" s="672"/>
      <c r="S64" s="673"/>
    </row>
    <row r="65" spans="1:19" x14ac:dyDescent="0.2">
      <c r="A65" s="668"/>
      <c r="B65" s="669"/>
      <c r="C65" s="670"/>
      <c r="D65" s="338"/>
      <c r="E65" s="330"/>
      <c r="F65" s="331"/>
      <c r="G65" s="332"/>
      <c r="H65" s="333"/>
      <c r="I65" s="330"/>
      <c r="J65" s="333"/>
      <c r="K65" s="60"/>
      <c r="L65" s="333"/>
      <c r="M65" s="341"/>
      <c r="N65" s="33"/>
      <c r="O65" s="283"/>
      <c r="P65" s="559"/>
      <c r="Q65" s="671"/>
      <c r="R65" s="672"/>
      <c r="S65" s="673"/>
    </row>
    <row r="66" spans="1:19" x14ac:dyDescent="0.2">
      <c r="A66" s="668"/>
      <c r="B66" s="669"/>
      <c r="C66" s="670"/>
      <c r="D66" s="338"/>
      <c r="E66" s="330"/>
      <c r="F66" s="331"/>
      <c r="G66" s="332"/>
      <c r="H66" s="333"/>
      <c r="I66" s="330"/>
      <c r="J66" s="333"/>
      <c r="K66" s="334"/>
      <c r="L66" s="333"/>
      <c r="M66" s="343"/>
      <c r="N66" s="344"/>
      <c r="O66" s="337"/>
      <c r="P66" s="560"/>
      <c r="Q66" s="671"/>
      <c r="R66" s="672"/>
      <c r="S66" s="673"/>
    </row>
    <row r="67" spans="1:19" x14ac:dyDescent="0.2">
      <c r="A67" s="612"/>
      <c r="B67" s="613"/>
      <c r="C67" s="614"/>
      <c r="D67" s="338"/>
      <c r="E67" s="330"/>
      <c r="F67" s="331"/>
      <c r="G67" s="332"/>
      <c r="H67" s="333"/>
      <c r="I67" s="330"/>
      <c r="J67" s="333"/>
      <c r="K67" s="334"/>
      <c r="L67" s="333"/>
      <c r="M67" s="343"/>
      <c r="N67" s="344"/>
      <c r="O67" s="337"/>
      <c r="P67" s="560"/>
      <c r="Q67" s="671"/>
      <c r="R67" s="672"/>
      <c r="S67" s="673"/>
    </row>
    <row r="68" spans="1:19" x14ac:dyDescent="0.2">
      <c r="A68" s="609"/>
      <c r="B68" s="610"/>
      <c r="C68" s="611"/>
      <c r="D68" s="338"/>
      <c r="E68" s="330"/>
      <c r="F68" s="331"/>
      <c r="G68" s="332"/>
      <c r="H68" s="333"/>
      <c r="I68" s="330"/>
      <c r="J68" s="333"/>
      <c r="K68" s="334"/>
      <c r="L68" s="333"/>
      <c r="M68" s="343"/>
      <c r="N68" s="344"/>
      <c r="O68" s="337"/>
      <c r="P68" s="560"/>
      <c r="Q68" s="671"/>
      <c r="R68" s="672"/>
      <c r="S68" s="673"/>
    </row>
    <row r="69" spans="1:19" x14ac:dyDescent="0.2">
      <c r="A69" s="668"/>
      <c r="B69" s="669"/>
      <c r="C69" s="670"/>
      <c r="D69" s="22"/>
      <c r="E69" s="330"/>
      <c r="F69" s="331"/>
      <c r="G69" s="332"/>
      <c r="H69" s="333"/>
      <c r="I69" s="330"/>
      <c r="J69" s="24"/>
      <c r="K69" s="346"/>
      <c r="L69" s="24"/>
      <c r="M69" s="343"/>
      <c r="N69" s="344"/>
      <c r="O69" s="337"/>
      <c r="P69" s="560"/>
      <c r="Q69" s="671"/>
      <c r="R69" s="672"/>
      <c r="S69" s="673"/>
    </row>
    <row r="70" spans="1:19" x14ac:dyDescent="0.2">
      <c r="A70" s="668"/>
      <c r="B70" s="669"/>
      <c r="C70" s="670"/>
      <c r="D70" s="22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560"/>
      <c r="Q70" s="671"/>
      <c r="R70" s="672"/>
      <c r="S70" s="673"/>
    </row>
    <row r="71" spans="1:19" x14ac:dyDescent="0.2">
      <c r="A71" s="668"/>
      <c r="B71" s="669"/>
      <c r="C71" s="670"/>
      <c r="D71" s="338"/>
      <c r="E71" s="330"/>
      <c r="F71" s="331"/>
      <c r="G71" s="332"/>
      <c r="H71" s="333"/>
      <c r="I71" s="347"/>
      <c r="J71" s="333"/>
      <c r="K71" s="334"/>
      <c r="L71" s="333"/>
      <c r="M71" s="343"/>
      <c r="N71" s="344"/>
      <c r="O71" s="337"/>
      <c r="P71" s="560"/>
      <c r="Q71" s="671"/>
      <c r="R71" s="672"/>
      <c r="S71" s="673"/>
    </row>
    <row r="72" spans="1:19" x14ac:dyDescent="0.2">
      <c r="A72" s="609"/>
      <c r="B72" s="610"/>
      <c r="C72" s="611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560"/>
      <c r="Q72" s="671"/>
      <c r="R72" s="672"/>
      <c r="S72" s="673"/>
    </row>
    <row r="73" spans="1:19" x14ac:dyDescent="0.2">
      <c r="A73" s="668"/>
      <c r="B73" s="669"/>
      <c r="C73" s="670"/>
      <c r="D73" s="338"/>
      <c r="E73" s="330"/>
      <c r="F73" s="331"/>
      <c r="G73" s="332"/>
      <c r="H73" s="333"/>
      <c r="I73" s="330"/>
      <c r="J73" s="333"/>
      <c r="K73" s="334"/>
      <c r="L73" s="333"/>
      <c r="M73" s="343"/>
      <c r="N73" s="344"/>
      <c r="O73" s="337"/>
      <c r="P73" s="560"/>
      <c r="Q73" s="671"/>
      <c r="R73" s="672"/>
      <c r="S73" s="673"/>
    </row>
    <row r="74" spans="1:19" x14ac:dyDescent="0.2">
      <c r="A74" s="668"/>
      <c r="B74" s="669"/>
      <c r="C74" s="670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560"/>
      <c r="Q74" s="671"/>
      <c r="R74" s="672"/>
      <c r="S74" s="673"/>
    </row>
    <row r="75" spans="1:19" x14ac:dyDescent="0.2">
      <c r="A75" s="668"/>
      <c r="B75" s="669"/>
      <c r="C75" s="670"/>
      <c r="D75" s="338"/>
      <c r="E75" s="330"/>
      <c r="F75" s="331"/>
      <c r="G75" s="332"/>
      <c r="H75" s="333"/>
      <c r="I75" s="330"/>
      <c r="J75" s="333"/>
      <c r="K75" s="334"/>
      <c r="L75" s="333"/>
      <c r="M75" s="343"/>
      <c r="N75" s="344"/>
      <c r="O75" s="337"/>
      <c r="P75" s="560"/>
      <c r="Q75" s="671"/>
      <c r="R75" s="672"/>
      <c r="S75" s="673"/>
    </row>
    <row r="76" spans="1:19" x14ac:dyDescent="0.2">
      <c r="A76" s="668"/>
      <c r="B76" s="669"/>
      <c r="C76" s="670"/>
      <c r="D76" s="338"/>
      <c r="E76" s="330"/>
      <c r="F76" s="331"/>
      <c r="G76" s="332"/>
      <c r="H76" s="333"/>
      <c r="I76" s="347"/>
      <c r="J76" s="333"/>
      <c r="K76" s="334"/>
      <c r="L76" s="333"/>
      <c r="M76" s="343"/>
      <c r="N76" s="344"/>
      <c r="O76" s="337"/>
      <c r="P76" s="560"/>
      <c r="Q76" s="671"/>
      <c r="R76" s="672"/>
      <c r="S76" s="673"/>
    </row>
    <row r="77" spans="1:19" x14ac:dyDescent="0.2">
      <c r="A77" s="686"/>
      <c r="B77" s="687"/>
      <c r="C77" s="688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560"/>
      <c r="Q77" s="671"/>
      <c r="R77" s="672"/>
      <c r="S77" s="673"/>
    </row>
    <row r="78" spans="1:19" x14ac:dyDescent="0.2">
      <c r="A78" s="683"/>
      <c r="B78" s="684"/>
      <c r="C78" s="685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560"/>
      <c r="Q78" s="671"/>
      <c r="R78" s="672"/>
      <c r="S78" s="673"/>
    </row>
    <row r="79" spans="1:19" x14ac:dyDescent="0.2">
      <c r="A79" s="683"/>
      <c r="B79" s="684"/>
      <c r="C79" s="685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560"/>
      <c r="Q79" s="671"/>
      <c r="R79" s="672"/>
      <c r="S79" s="673"/>
    </row>
    <row r="80" spans="1:19" x14ac:dyDescent="0.2">
      <c r="A80" s="683"/>
      <c r="B80" s="684"/>
      <c r="C80" s="685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560"/>
      <c r="Q80" s="671"/>
      <c r="R80" s="672"/>
      <c r="S80" s="673"/>
    </row>
    <row r="81" spans="1:19" x14ac:dyDescent="0.2">
      <c r="A81" s="683"/>
      <c r="B81" s="684"/>
      <c r="C81" s="685"/>
      <c r="D81" s="338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560"/>
      <c r="Q81" s="671"/>
      <c r="R81" s="672"/>
      <c r="S81" s="673"/>
    </row>
    <row r="82" spans="1:19" x14ac:dyDescent="0.2">
      <c r="A82" s="680"/>
      <c r="B82" s="681"/>
      <c r="C82" s="682"/>
      <c r="D82" s="338"/>
      <c r="E82" s="330"/>
      <c r="F82" s="331"/>
      <c r="G82" s="332"/>
      <c r="H82" s="333"/>
      <c r="I82" s="330"/>
      <c r="J82" s="333"/>
      <c r="K82" s="334"/>
      <c r="L82" s="333"/>
      <c r="M82" s="343"/>
      <c r="N82" s="344"/>
      <c r="O82" s="337"/>
      <c r="P82" s="560"/>
      <c r="Q82" s="671"/>
      <c r="R82" s="672"/>
      <c r="S82" s="673"/>
    </row>
    <row r="83" spans="1:19" x14ac:dyDescent="0.2">
      <c r="A83" s="609"/>
      <c r="B83" s="610"/>
      <c r="C83" s="611"/>
      <c r="D83" s="338"/>
      <c r="E83" s="330"/>
      <c r="F83" s="331"/>
      <c r="G83" s="332"/>
      <c r="H83" s="333"/>
      <c r="I83" s="330"/>
      <c r="J83" s="333"/>
      <c r="K83" s="334"/>
      <c r="L83" s="333"/>
      <c r="M83" s="343"/>
      <c r="N83" s="344"/>
      <c r="O83" s="337"/>
      <c r="P83" s="560"/>
      <c r="Q83" s="671"/>
      <c r="R83" s="672"/>
      <c r="S83" s="673"/>
    </row>
    <row r="84" spans="1:19" x14ac:dyDescent="0.2">
      <c r="A84" s="668"/>
      <c r="B84" s="669"/>
      <c r="C84" s="670"/>
      <c r="D84" s="22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560"/>
      <c r="Q84" s="671"/>
      <c r="R84" s="672"/>
      <c r="S84" s="673"/>
    </row>
    <row r="85" spans="1:19" x14ac:dyDescent="0.2">
      <c r="A85" s="668"/>
      <c r="B85" s="669"/>
      <c r="C85" s="670"/>
      <c r="D85" s="338"/>
      <c r="E85" s="330"/>
      <c r="F85" s="331"/>
      <c r="G85" s="332"/>
      <c r="H85" s="333"/>
      <c r="I85" s="330"/>
      <c r="J85" s="333"/>
      <c r="K85" s="334"/>
      <c r="L85" s="24"/>
      <c r="M85" s="343"/>
      <c r="N85" s="344"/>
      <c r="O85" s="337"/>
      <c r="P85" s="560"/>
      <c r="Q85" s="671"/>
      <c r="R85" s="672"/>
      <c r="S85" s="673"/>
    </row>
    <row r="86" spans="1:19" x14ac:dyDescent="0.2">
      <c r="A86" s="668"/>
      <c r="B86" s="669"/>
      <c r="C86" s="670"/>
      <c r="D86" s="338"/>
      <c r="E86" s="330"/>
      <c r="F86" s="331"/>
      <c r="G86" s="332"/>
      <c r="H86" s="333"/>
      <c r="I86" s="330"/>
      <c r="J86" s="333"/>
      <c r="K86" s="60"/>
      <c r="L86" s="333"/>
      <c r="M86" s="341"/>
      <c r="N86" s="33"/>
      <c r="O86" s="337"/>
      <c r="P86" s="560"/>
      <c r="Q86" s="671"/>
      <c r="R86" s="672"/>
      <c r="S86" s="673"/>
    </row>
    <row r="87" spans="1:19" x14ac:dyDescent="0.2">
      <c r="A87" s="668"/>
      <c r="B87" s="669"/>
      <c r="C87" s="670"/>
      <c r="D87" s="338"/>
      <c r="E87" s="330"/>
      <c r="F87" s="331"/>
      <c r="G87" s="332"/>
      <c r="H87" s="333"/>
      <c r="I87" s="330"/>
      <c r="J87" s="333"/>
      <c r="K87" s="334"/>
      <c r="L87" s="333"/>
      <c r="M87" s="343"/>
      <c r="N87" s="344"/>
      <c r="O87" s="337"/>
      <c r="P87" s="560"/>
      <c r="Q87" s="671"/>
      <c r="R87" s="672"/>
      <c r="S87" s="673"/>
    </row>
    <row r="88" spans="1:19" x14ac:dyDescent="0.2">
      <c r="A88" s="612"/>
      <c r="B88" s="613"/>
      <c r="C88" s="614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560"/>
      <c r="Q88" s="671"/>
      <c r="R88" s="672"/>
      <c r="S88" s="673"/>
    </row>
    <row r="89" spans="1:19" x14ac:dyDescent="0.2">
      <c r="A89" s="609"/>
      <c r="B89" s="610"/>
      <c r="C89" s="61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560"/>
      <c r="Q89" s="671"/>
      <c r="R89" s="672"/>
      <c r="S89" s="673"/>
    </row>
    <row r="90" spans="1:19" x14ac:dyDescent="0.2">
      <c r="A90" s="668"/>
      <c r="B90" s="669"/>
      <c r="C90" s="670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560"/>
      <c r="Q90" s="671"/>
      <c r="R90" s="672"/>
      <c r="S90" s="673"/>
    </row>
    <row r="91" spans="1:19" x14ac:dyDescent="0.2">
      <c r="A91" s="668"/>
      <c r="B91" s="669"/>
      <c r="C91" s="670"/>
      <c r="D91" s="338"/>
      <c r="E91" s="330"/>
      <c r="F91" s="331"/>
      <c r="G91" s="332"/>
      <c r="H91" s="333"/>
      <c r="I91" s="330"/>
      <c r="J91" s="333"/>
      <c r="K91" s="334"/>
      <c r="L91" s="333"/>
      <c r="M91" s="343"/>
      <c r="N91" s="344"/>
      <c r="O91" s="337"/>
      <c r="P91" s="560"/>
      <c r="Q91" s="671"/>
      <c r="R91" s="672"/>
      <c r="S91" s="673"/>
    </row>
    <row r="92" spans="1:19" x14ac:dyDescent="0.2">
      <c r="A92" s="609"/>
      <c r="B92" s="610"/>
      <c r="C92" s="611"/>
      <c r="D92" s="338"/>
      <c r="E92" s="330"/>
      <c r="F92" s="331"/>
      <c r="G92" s="332"/>
      <c r="H92" s="333"/>
      <c r="I92" s="330"/>
      <c r="J92" s="333"/>
      <c r="K92" s="334"/>
      <c r="L92" s="333"/>
      <c r="M92" s="343"/>
      <c r="N92" s="344"/>
      <c r="O92" s="337"/>
      <c r="P92" s="560"/>
      <c r="Q92" s="671"/>
      <c r="R92" s="672"/>
      <c r="S92" s="673"/>
    </row>
    <row r="93" spans="1:19" x14ac:dyDescent="0.2">
      <c r="A93" s="668"/>
      <c r="B93" s="669"/>
      <c r="C93" s="670"/>
      <c r="D93" s="338"/>
      <c r="E93" s="330"/>
      <c r="F93" s="331"/>
      <c r="G93" s="332"/>
      <c r="H93" s="333"/>
      <c r="I93" s="347"/>
      <c r="J93" s="333"/>
      <c r="K93" s="334"/>
      <c r="L93" s="333"/>
      <c r="M93" s="343"/>
      <c r="N93" s="344"/>
      <c r="O93" s="337"/>
      <c r="P93" s="560"/>
      <c r="Q93" s="671"/>
      <c r="R93" s="672"/>
      <c r="S93" s="673"/>
    </row>
    <row r="94" spans="1:19" x14ac:dyDescent="0.2">
      <c r="A94" s="668"/>
      <c r="B94" s="669"/>
      <c r="C94" s="670"/>
      <c r="D94" s="338"/>
      <c r="E94" s="330"/>
      <c r="F94" s="331"/>
      <c r="G94" s="332"/>
      <c r="H94" s="333"/>
      <c r="I94" s="347"/>
      <c r="J94" s="333"/>
      <c r="K94" s="334"/>
      <c r="L94" s="333"/>
      <c r="M94" s="343"/>
      <c r="N94" s="344"/>
      <c r="O94" s="337"/>
      <c r="P94" s="560"/>
      <c r="Q94" s="671"/>
      <c r="R94" s="672"/>
      <c r="S94" s="673"/>
    </row>
    <row r="95" spans="1:19" x14ac:dyDescent="0.2">
      <c r="A95" s="668"/>
      <c r="B95" s="669"/>
      <c r="C95" s="670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560"/>
      <c r="Q95" s="671"/>
      <c r="R95" s="672"/>
      <c r="S95" s="673"/>
    </row>
    <row r="96" spans="1:19" x14ac:dyDescent="0.2">
      <c r="A96" s="609"/>
      <c r="B96" s="610"/>
      <c r="C96" s="611"/>
      <c r="D96" s="338"/>
      <c r="E96" s="330"/>
      <c r="F96" s="331"/>
      <c r="G96" s="332"/>
      <c r="H96" s="333"/>
      <c r="I96" s="330"/>
      <c r="J96" s="333"/>
      <c r="K96" s="334"/>
      <c r="L96" s="333"/>
      <c r="M96" s="343"/>
      <c r="N96" s="344"/>
      <c r="O96" s="337"/>
      <c r="P96" s="560"/>
      <c r="Q96" s="671"/>
      <c r="R96" s="672"/>
      <c r="S96" s="673"/>
    </row>
    <row r="97" spans="1:19" x14ac:dyDescent="0.2">
      <c r="A97" s="668"/>
      <c r="B97" s="669"/>
      <c r="C97" s="670"/>
      <c r="D97" s="338"/>
      <c r="E97" s="330"/>
      <c r="F97" s="331"/>
      <c r="G97" s="332"/>
      <c r="H97" s="333"/>
      <c r="I97" s="347"/>
      <c r="J97" s="24"/>
      <c r="K97" s="334"/>
      <c r="L97" s="333"/>
      <c r="M97" s="343"/>
      <c r="N97" s="344"/>
      <c r="O97" s="337"/>
      <c r="P97" s="560"/>
      <c r="Q97" s="671"/>
      <c r="R97" s="672"/>
      <c r="S97" s="673"/>
    </row>
    <row r="98" spans="1:19" x14ac:dyDescent="0.2">
      <c r="A98" s="668"/>
      <c r="B98" s="669"/>
      <c r="C98" s="670"/>
      <c r="D98" s="338"/>
      <c r="E98" s="330"/>
      <c r="F98" s="331"/>
      <c r="G98" s="332"/>
      <c r="H98" s="333"/>
      <c r="I98" s="347"/>
      <c r="J98" s="333"/>
      <c r="K98" s="334"/>
      <c r="L98" s="333"/>
      <c r="M98" s="343"/>
      <c r="N98" s="344"/>
      <c r="O98" s="337"/>
      <c r="P98" s="560"/>
      <c r="Q98" s="671"/>
      <c r="R98" s="672"/>
      <c r="S98" s="673"/>
    </row>
    <row r="99" spans="1:19" x14ac:dyDescent="0.2">
      <c r="A99" s="668"/>
      <c r="B99" s="669"/>
      <c r="C99" s="670"/>
      <c r="D99" s="338"/>
      <c r="E99" s="330"/>
      <c r="F99" s="331"/>
      <c r="G99" s="332"/>
      <c r="H99" s="333"/>
      <c r="I99" s="347"/>
      <c r="J99" s="333"/>
      <c r="K99" s="334"/>
      <c r="L99" s="333"/>
      <c r="M99" s="343"/>
      <c r="N99" s="344"/>
      <c r="O99" s="337"/>
      <c r="P99" s="560"/>
      <c r="Q99" s="671"/>
      <c r="R99" s="672"/>
      <c r="S99" s="673"/>
    </row>
    <row r="100" spans="1:19" x14ac:dyDescent="0.2">
      <c r="A100" s="668"/>
      <c r="B100" s="669"/>
      <c r="C100" s="670"/>
      <c r="D100" s="338"/>
      <c r="E100" s="330"/>
      <c r="F100" s="331"/>
      <c r="G100" s="332"/>
      <c r="H100" s="333"/>
      <c r="I100" s="347"/>
      <c r="J100" s="333"/>
      <c r="K100" s="334"/>
      <c r="L100" s="333"/>
      <c r="M100" s="343"/>
      <c r="N100" s="344"/>
      <c r="O100" s="337"/>
      <c r="P100" s="560"/>
      <c r="Q100" s="671"/>
      <c r="R100" s="672"/>
      <c r="S100" s="673"/>
    </row>
    <row r="101" spans="1:19" x14ac:dyDescent="0.2">
      <c r="A101" s="668"/>
      <c r="B101" s="669"/>
      <c r="C101" s="670"/>
      <c r="D101" s="338"/>
      <c r="E101" s="330"/>
      <c r="F101" s="331"/>
      <c r="G101" s="281"/>
      <c r="H101" s="333"/>
      <c r="I101" s="347"/>
      <c r="J101" s="333"/>
      <c r="K101" s="334"/>
      <c r="L101" s="333"/>
      <c r="M101" s="343"/>
      <c r="N101" s="344"/>
      <c r="O101" s="337"/>
      <c r="P101" s="560"/>
      <c r="Q101" s="671"/>
      <c r="R101" s="672"/>
      <c r="S101" s="673"/>
    </row>
    <row r="102" spans="1:19" x14ac:dyDescent="0.2">
      <c r="A102" s="609"/>
      <c r="B102" s="610"/>
      <c r="C102" s="611"/>
      <c r="D102" s="338"/>
      <c r="E102" s="330"/>
      <c r="F102" s="331"/>
      <c r="G102" s="332"/>
      <c r="H102" s="333"/>
      <c r="I102" s="330"/>
      <c r="J102" s="333"/>
      <c r="K102" s="334"/>
      <c r="L102" s="333"/>
      <c r="M102" s="343"/>
      <c r="N102" s="344"/>
      <c r="O102" s="337"/>
      <c r="P102" s="560"/>
      <c r="Q102" s="671"/>
      <c r="R102" s="672"/>
      <c r="S102" s="673"/>
    </row>
    <row r="103" spans="1:19" x14ac:dyDescent="0.2">
      <c r="A103" s="668"/>
      <c r="B103" s="669"/>
      <c r="C103" s="670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560"/>
      <c r="Q103" s="671"/>
      <c r="R103" s="672"/>
      <c r="S103" s="673"/>
    </row>
    <row r="104" spans="1:19" x14ac:dyDescent="0.2">
      <c r="A104" s="668"/>
      <c r="B104" s="669"/>
      <c r="C104" s="670"/>
      <c r="D104" s="338"/>
      <c r="E104" s="330"/>
      <c r="F104" s="331"/>
      <c r="G104" s="332"/>
      <c r="H104" s="333"/>
      <c r="I104" s="330"/>
      <c r="J104" s="333"/>
      <c r="K104" s="349"/>
      <c r="L104" s="24"/>
      <c r="M104" s="343"/>
      <c r="N104" s="344"/>
      <c r="O104" s="337"/>
      <c r="P104" s="560"/>
      <c r="Q104" s="671"/>
      <c r="R104" s="672"/>
      <c r="S104" s="673"/>
    </row>
    <row r="105" spans="1:19" x14ac:dyDescent="0.2">
      <c r="A105" s="668"/>
      <c r="B105" s="669"/>
      <c r="C105" s="670"/>
      <c r="D105" s="338"/>
      <c r="E105" s="330"/>
      <c r="F105" s="331"/>
      <c r="G105" s="332"/>
      <c r="H105" s="333"/>
      <c r="I105" s="330"/>
      <c r="J105" s="333"/>
      <c r="K105" s="60"/>
      <c r="L105" s="333"/>
      <c r="M105" s="341"/>
      <c r="N105" s="33"/>
      <c r="O105" s="337"/>
      <c r="P105" s="560"/>
      <c r="Q105" s="671"/>
      <c r="R105" s="672"/>
      <c r="S105" s="673"/>
    </row>
    <row r="106" spans="1:19" x14ac:dyDescent="0.2">
      <c r="A106" s="668"/>
      <c r="B106" s="669"/>
      <c r="C106" s="670"/>
      <c r="D106" s="338"/>
      <c r="E106" s="330"/>
      <c r="F106" s="331"/>
      <c r="G106" s="332"/>
      <c r="H106" s="333"/>
      <c r="I106" s="330"/>
      <c r="J106" s="333"/>
      <c r="K106" s="334"/>
      <c r="L106" s="333"/>
      <c r="M106" s="343"/>
      <c r="N106" s="344"/>
      <c r="O106" s="337"/>
      <c r="P106" s="560"/>
      <c r="Q106" s="671"/>
      <c r="R106" s="672"/>
      <c r="S106" s="673"/>
    </row>
    <row r="107" spans="1:19" x14ac:dyDescent="0.2">
      <c r="A107" s="612"/>
      <c r="B107" s="613"/>
      <c r="C107" s="614"/>
      <c r="D107" s="338"/>
      <c r="E107" s="330"/>
      <c r="F107" s="331"/>
      <c r="G107" s="332"/>
      <c r="H107" s="333"/>
      <c r="I107" s="330"/>
      <c r="J107" s="333"/>
      <c r="K107" s="334"/>
      <c r="L107" s="333"/>
      <c r="M107" s="343"/>
      <c r="N107" s="344"/>
      <c r="O107" s="337"/>
      <c r="P107" s="560"/>
      <c r="Q107" s="671"/>
      <c r="R107" s="672"/>
      <c r="S107" s="673"/>
    </row>
    <row r="108" spans="1:19" x14ac:dyDescent="0.2">
      <c r="A108" s="668"/>
      <c r="B108" s="669"/>
      <c r="C108" s="670"/>
      <c r="D108" s="22"/>
      <c r="E108" s="330"/>
      <c r="F108" s="331"/>
      <c r="G108" s="332"/>
      <c r="H108" s="333"/>
      <c r="I108" s="330"/>
      <c r="J108" s="24"/>
      <c r="K108" s="334"/>
      <c r="L108" s="333"/>
      <c r="M108" s="343"/>
      <c r="N108" s="344"/>
      <c r="O108" s="337"/>
      <c r="P108" s="560"/>
      <c r="Q108" s="671"/>
      <c r="R108" s="672"/>
      <c r="S108" s="673"/>
    </row>
    <row r="109" spans="1:19" x14ac:dyDescent="0.2">
      <c r="A109" s="668"/>
      <c r="B109" s="669"/>
      <c r="C109" s="670"/>
      <c r="D109" s="338"/>
      <c r="E109" s="330"/>
      <c r="F109" s="331"/>
      <c r="G109" s="332"/>
      <c r="H109" s="333"/>
      <c r="I109" s="347"/>
      <c r="J109" s="333"/>
      <c r="K109" s="334"/>
      <c r="L109" s="333"/>
      <c r="M109" s="343"/>
      <c r="N109" s="344"/>
      <c r="O109" s="337"/>
      <c r="P109" s="560"/>
      <c r="Q109" s="671"/>
      <c r="R109" s="672"/>
      <c r="S109" s="673"/>
    </row>
    <row r="110" spans="1:19" x14ac:dyDescent="0.2">
      <c r="A110" s="668"/>
      <c r="B110" s="669"/>
      <c r="C110" s="670"/>
      <c r="D110" s="338"/>
      <c r="E110" s="330"/>
      <c r="F110" s="331"/>
      <c r="G110" s="332"/>
      <c r="H110" s="333"/>
      <c r="I110" s="330"/>
      <c r="J110" s="333"/>
      <c r="K110" s="349"/>
      <c r="L110" s="24"/>
      <c r="M110" s="343"/>
      <c r="N110" s="344"/>
      <c r="O110" s="337"/>
      <c r="P110" s="560"/>
      <c r="Q110" s="671"/>
      <c r="R110" s="672"/>
      <c r="S110" s="673"/>
    </row>
    <row r="111" spans="1:19" x14ac:dyDescent="0.2">
      <c r="A111" s="674"/>
      <c r="B111" s="675"/>
      <c r="C111" s="676"/>
      <c r="D111" s="354"/>
      <c r="E111" s="355"/>
      <c r="F111" s="356"/>
      <c r="G111" s="357"/>
      <c r="H111" s="358"/>
      <c r="I111" s="355"/>
      <c r="J111" s="358"/>
      <c r="K111" s="62"/>
      <c r="L111" s="358"/>
      <c r="M111" s="359"/>
      <c r="N111" s="37"/>
      <c r="O111" s="360"/>
      <c r="P111" s="360"/>
      <c r="Q111" s="677"/>
      <c r="R111" s="678"/>
      <c r="S111" s="679"/>
    </row>
  </sheetData>
  <mergeCells count="219">
    <mergeCell ref="Q6:S6"/>
    <mergeCell ref="A7:C7"/>
    <mergeCell ref="Q7:S7"/>
    <mergeCell ref="A8:C8"/>
    <mergeCell ref="Q8:S8"/>
    <mergeCell ref="A9:C9"/>
    <mergeCell ref="Q9:S9"/>
    <mergeCell ref="L1:M1"/>
    <mergeCell ref="L2:M2"/>
    <mergeCell ref="D3:F3"/>
    <mergeCell ref="L3:M3"/>
    <mergeCell ref="A4:C4"/>
    <mergeCell ref="D4:F4"/>
    <mergeCell ref="L4:M4"/>
    <mergeCell ref="P2:Q2"/>
    <mergeCell ref="A13:C13"/>
    <mergeCell ref="Q13:S13"/>
    <mergeCell ref="A14:C14"/>
    <mergeCell ref="Q14:S14"/>
    <mergeCell ref="A15:C15"/>
    <mergeCell ref="Q15:S15"/>
    <mergeCell ref="A10:C10"/>
    <mergeCell ref="Q10:S10"/>
    <mergeCell ref="A11:C11"/>
    <mergeCell ref="Q11:S11"/>
    <mergeCell ref="A12:C12"/>
    <mergeCell ref="Q12:S12"/>
    <mergeCell ref="A19:C19"/>
    <mergeCell ref="Q19:S19"/>
    <mergeCell ref="A20:C20"/>
    <mergeCell ref="Q20:S20"/>
    <mergeCell ref="A21:C21"/>
    <mergeCell ref="Q21:S21"/>
    <mergeCell ref="A16:C16"/>
    <mergeCell ref="Q16:S16"/>
    <mergeCell ref="A17:C17"/>
    <mergeCell ref="Q17:S17"/>
    <mergeCell ref="A18:C18"/>
    <mergeCell ref="Q18:S18"/>
    <mergeCell ref="A25:C25"/>
    <mergeCell ref="Q25:S25"/>
    <mergeCell ref="A26:C26"/>
    <mergeCell ref="Q26:S26"/>
    <mergeCell ref="A27:C27"/>
    <mergeCell ref="Q27:S27"/>
    <mergeCell ref="A22:C22"/>
    <mergeCell ref="Q22:S22"/>
    <mergeCell ref="A23:C23"/>
    <mergeCell ref="Q23:S23"/>
    <mergeCell ref="A24:C24"/>
    <mergeCell ref="Q24:S24"/>
    <mergeCell ref="A31:C31"/>
    <mergeCell ref="Q31:S31"/>
    <mergeCell ref="A32:C32"/>
    <mergeCell ref="Q32:S32"/>
    <mergeCell ref="A33:C33"/>
    <mergeCell ref="Q33:S33"/>
    <mergeCell ref="A28:C28"/>
    <mergeCell ref="Q28:S28"/>
    <mergeCell ref="A29:C29"/>
    <mergeCell ref="Q29:S29"/>
    <mergeCell ref="A30:C30"/>
    <mergeCell ref="Q30:S30"/>
    <mergeCell ref="A37:C37"/>
    <mergeCell ref="Q37:S37"/>
    <mergeCell ref="A38:C38"/>
    <mergeCell ref="Q38:S38"/>
    <mergeCell ref="A39:C39"/>
    <mergeCell ref="Q39:S39"/>
    <mergeCell ref="A34:C34"/>
    <mergeCell ref="Q34:S34"/>
    <mergeCell ref="A35:C35"/>
    <mergeCell ref="Q35:S35"/>
    <mergeCell ref="A36:C36"/>
    <mergeCell ref="Q36:S36"/>
    <mergeCell ref="A43:C43"/>
    <mergeCell ref="Q43:S43"/>
    <mergeCell ref="A44:C44"/>
    <mergeCell ref="Q44:S44"/>
    <mergeCell ref="A45:C45"/>
    <mergeCell ref="Q45:S45"/>
    <mergeCell ref="A40:C40"/>
    <mergeCell ref="Q40:S40"/>
    <mergeCell ref="A41:C41"/>
    <mergeCell ref="Q41:S41"/>
    <mergeCell ref="A42:C42"/>
    <mergeCell ref="Q42:S42"/>
    <mergeCell ref="A49:C49"/>
    <mergeCell ref="Q49:S49"/>
    <mergeCell ref="A50:C50"/>
    <mergeCell ref="Q50:S50"/>
    <mergeCell ref="A51:C51"/>
    <mergeCell ref="Q51:S51"/>
    <mergeCell ref="A46:C46"/>
    <mergeCell ref="Q46:S46"/>
    <mergeCell ref="A47:C47"/>
    <mergeCell ref="Q47:S47"/>
    <mergeCell ref="A48:C48"/>
    <mergeCell ref="Q48:S48"/>
    <mergeCell ref="A55:C55"/>
    <mergeCell ref="Q55:S55"/>
    <mergeCell ref="A56:C56"/>
    <mergeCell ref="Q56:S56"/>
    <mergeCell ref="A57:C57"/>
    <mergeCell ref="Q57:S57"/>
    <mergeCell ref="A52:C52"/>
    <mergeCell ref="Q52:S52"/>
    <mergeCell ref="A53:C53"/>
    <mergeCell ref="Q53:S53"/>
    <mergeCell ref="A54:C54"/>
    <mergeCell ref="Q54:S54"/>
    <mergeCell ref="A61:C61"/>
    <mergeCell ref="Q61:S61"/>
    <mergeCell ref="A62:C62"/>
    <mergeCell ref="Q62:S62"/>
    <mergeCell ref="A63:C63"/>
    <mergeCell ref="Q63:S63"/>
    <mergeCell ref="A58:C58"/>
    <mergeCell ref="Q58:S58"/>
    <mergeCell ref="A59:C59"/>
    <mergeCell ref="Q59:S59"/>
    <mergeCell ref="A60:C60"/>
    <mergeCell ref="Q60:S60"/>
    <mergeCell ref="A67:C67"/>
    <mergeCell ref="Q67:S67"/>
    <mergeCell ref="A68:C68"/>
    <mergeCell ref="Q68:S68"/>
    <mergeCell ref="A69:C69"/>
    <mergeCell ref="Q69:S69"/>
    <mergeCell ref="A64:C64"/>
    <mergeCell ref="Q64:S64"/>
    <mergeCell ref="A65:C65"/>
    <mergeCell ref="Q65:S65"/>
    <mergeCell ref="A66:C66"/>
    <mergeCell ref="Q66:S66"/>
    <mergeCell ref="A73:C73"/>
    <mergeCell ref="Q73:S73"/>
    <mergeCell ref="A74:C74"/>
    <mergeCell ref="Q74:S74"/>
    <mergeCell ref="A75:C75"/>
    <mergeCell ref="Q75:S75"/>
    <mergeCell ref="A70:C70"/>
    <mergeCell ref="Q70:S70"/>
    <mergeCell ref="A71:C71"/>
    <mergeCell ref="Q71:S71"/>
    <mergeCell ref="A72:C72"/>
    <mergeCell ref="Q72:S72"/>
    <mergeCell ref="A79:C79"/>
    <mergeCell ref="Q79:S79"/>
    <mergeCell ref="A80:C80"/>
    <mergeCell ref="Q80:S80"/>
    <mergeCell ref="A81:C81"/>
    <mergeCell ref="Q81:S81"/>
    <mergeCell ref="A76:C76"/>
    <mergeCell ref="Q76:S76"/>
    <mergeCell ref="A77:C77"/>
    <mergeCell ref="Q77:S77"/>
    <mergeCell ref="A78:C78"/>
    <mergeCell ref="Q78:S78"/>
    <mergeCell ref="A85:C85"/>
    <mergeCell ref="Q85:S85"/>
    <mergeCell ref="A86:C86"/>
    <mergeCell ref="Q86:S86"/>
    <mergeCell ref="A87:C87"/>
    <mergeCell ref="Q87:S87"/>
    <mergeCell ref="A82:C82"/>
    <mergeCell ref="Q82:S82"/>
    <mergeCell ref="A83:C83"/>
    <mergeCell ref="Q83:S83"/>
    <mergeCell ref="A84:C84"/>
    <mergeCell ref="Q84:S84"/>
    <mergeCell ref="A91:C91"/>
    <mergeCell ref="Q91:S91"/>
    <mergeCell ref="A92:C92"/>
    <mergeCell ref="Q92:S92"/>
    <mergeCell ref="A93:C93"/>
    <mergeCell ref="Q93:S93"/>
    <mergeCell ref="A88:C88"/>
    <mergeCell ref="Q88:S88"/>
    <mergeCell ref="A89:C89"/>
    <mergeCell ref="Q89:S89"/>
    <mergeCell ref="A90:C90"/>
    <mergeCell ref="Q90:S90"/>
    <mergeCell ref="A97:C97"/>
    <mergeCell ref="Q97:S97"/>
    <mergeCell ref="A98:C98"/>
    <mergeCell ref="Q98:S98"/>
    <mergeCell ref="A99:C99"/>
    <mergeCell ref="Q99:S99"/>
    <mergeCell ref="A94:C94"/>
    <mergeCell ref="Q94:S94"/>
    <mergeCell ref="A95:C95"/>
    <mergeCell ref="Q95:S95"/>
    <mergeCell ref="A96:C96"/>
    <mergeCell ref="Q96:S96"/>
    <mergeCell ref="A103:C103"/>
    <mergeCell ref="Q103:S103"/>
    <mergeCell ref="A104:C104"/>
    <mergeCell ref="Q104:S104"/>
    <mergeCell ref="A105:C105"/>
    <mergeCell ref="Q105:S105"/>
    <mergeCell ref="A100:C100"/>
    <mergeCell ref="Q100:S100"/>
    <mergeCell ref="A101:C101"/>
    <mergeCell ref="Q101:S101"/>
    <mergeCell ref="A102:C102"/>
    <mergeCell ref="Q102:S102"/>
    <mergeCell ref="A109:C109"/>
    <mergeCell ref="Q109:S109"/>
    <mergeCell ref="A110:C110"/>
    <mergeCell ref="Q110:S110"/>
    <mergeCell ref="A111:C111"/>
    <mergeCell ref="Q111:S111"/>
    <mergeCell ref="A106:C106"/>
    <mergeCell ref="Q106:S106"/>
    <mergeCell ref="A107:C107"/>
    <mergeCell ref="Q107:S107"/>
    <mergeCell ref="A108:C108"/>
    <mergeCell ref="Q108:S108"/>
  </mergeCells>
  <hyperlinks>
    <hyperlink ref="D8" r:id="rId1"/>
    <hyperlink ref="D25" r:id="rId2"/>
    <hyperlink ref="P23" location="'Specialties Price'!A1" display="P14"/>
    <hyperlink ref="P25" location="'Specialties Price'!A1" display="P14"/>
    <hyperlink ref="P27" location="'Specialties Price'!A1" display="P14"/>
    <hyperlink ref="P2" location="'Table of Contents'!A1" display="Table of Contents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F22" sqref="F22"/>
    </sheetView>
  </sheetViews>
  <sheetFormatPr defaultRowHeight="15" x14ac:dyDescent="0.25"/>
  <cols>
    <col min="1" max="1" width="9.140625" style="194"/>
    <col min="2" max="2" width="21.85546875" bestFit="1" customWidth="1"/>
  </cols>
  <sheetData>
    <row r="1" spans="2:5" s="194" customFormat="1" x14ac:dyDescent="0.25"/>
    <row r="2" spans="2:5" s="194" customFormat="1" x14ac:dyDescent="0.25"/>
    <row r="4" spans="2:5" x14ac:dyDescent="0.25">
      <c r="B4" s="635" t="s">
        <v>763</v>
      </c>
      <c r="C4" s="635"/>
      <c r="D4" s="635"/>
      <c r="E4" s="635"/>
    </row>
    <row r="5" spans="2:5" s="194" customFormat="1" x14ac:dyDescent="0.25">
      <c r="B5" s="580"/>
      <c r="C5" s="580"/>
      <c r="D5" s="580"/>
      <c r="E5" s="580"/>
    </row>
    <row r="6" spans="2:5" s="194" customFormat="1" ht="18.75" x14ac:dyDescent="0.3">
      <c r="B6" s="584" t="s">
        <v>776</v>
      </c>
      <c r="C6" s="580"/>
      <c r="D6" s="580"/>
      <c r="E6" s="580"/>
    </row>
    <row r="7" spans="2:5" s="194" customFormat="1" ht="18.75" x14ac:dyDescent="0.3">
      <c r="B7" s="584" t="s">
        <v>777</v>
      </c>
      <c r="C7" s="580"/>
      <c r="D7" s="580"/>
      <c r="E7" s="580"/>
    </row>
    <row r="8" spans="2:5" s="194" customFormat="1" ht="18.75" x14ac:dyDescent="0.3">
      <c r="B8" s="584" t="s">
        <v>588</v>
      </c>
      <c r="C8" s="580"/>
      <c r="D8" s="580"/>
      <c r="E8" s="580"/>
    </row>
    <row r="9" spans="2:5" s="194" customFormat="1" ht="14.25" customHeight="1" x14ac:dyDescent="0.3">
      <c r="B9" s="584" t="s">
        <v>778</v>
      </c>
      <c r="C9" s="580"/>
      <c r="D9" s="580"/>
      <c r="E9" s="580"/>
    </row>
    <row r="10" spans="2:5" s="194" customFormat="1" ht="14.25" customHeight="1" x14ac:dyDescent="0.3">
      <c r="B10" s="585"/>
      <c r="C10" s="580"/>
      <c r="D10" s="580"/>
      <c r="E10" s="580"/>
    </row>
    <row r="11" spans="2:5" ht="18.75" x14ac:dyDescent="0.3">
      <c r="B11" s="586" t="s">
        <v>764</v>
      </c>
    </row>
    <row r="12" spans="2:5" ht="18.75" x14ac:dyDescent="0.3">
      <c r="B12" s="587" t="s">
        <v>567</v>
      </c>
    </row>
    <row r="13" spans="2:5" ht="18.75" x14ac:dyDescent="0.3">
      <c r="B13" s="587" t="s">
        <v>779</v>
      </c>
    </row>
    <row r="14" spans="2:5" s="194" customFormat="1" ht="18.75" x14ac:dyDescent="0.3">
      <c r="B14" s="587" t="s">
        <v>780</v>
      </c>
    </row>
    <row r="15" spans="2:5" ht="18.75" x14ac:dyDescent="0.3">
      <c r="B15" s="587" t="s">
        <v>560</v>
      </c>
    </row>
    <row r="16" spans="2:5" ht="18.75" x14ac:dyDescent="0.3">
      <c r="B16" s="587" t="s">
        <v>570</v>
      </c>
    </row>
    <row r="17" spans="2:2" ht="18.75" x14ac:dyDescent="0.3">
      <c r="B17" s="587" t="s">
        <v>765</v>
      </c>
    </row>
    <row r="18" spans="2:2" ht="18.75" x14ac:dyDescent="0.3">
      <c r="B18" s="587" t="s">
        <v>766</v>
      </c>
    </row>
    <row r="19" spans="2:2" ht="18.75" x14ac:dyDescent="0.3">
      <c r="B19" s="587" t="s">
        <v>767</v>
      </c>
    </row>
    <row r="20" spans="2:2" ht="18.75" x14ac:dyDescent="0.3">
      <c r="B20" s="587" t="s">
        <v>784</v>
      </c>
    </row>
    <row r="21" spans="2:2" ht="18.75" x14ac:dyDescent="0.3">
      <c r="B21" s="587" t="s">
        <v>682</v>
      </c>
    </row>
    <row r="22" spans="2:2" ht="18.75" x14ac:dyDescent="0.3">
      <c r="B22" s="587" t="s">
        <v>768</v>
      </c>
    </row>
    <row r="23" spans="2:2" ht="18.75" x14ac:dyDescent="0.3">
      <c r="B23" s="587" t="s">
        <v>769</v>
      </c>
    </row>
    <row r="24" spans="2:2" ht="18.75" x14ac:dyDescent="0.3">
      <c r="B24" s="587" t="s">
        <v>770</v>
      </c>
    </row>
    <row r="25" spans="2:2" ht="18.75" x14ac:dyDescent="0.3">
      <c r="B25" s="588"/>
    </row>
    <row r="26" spans="2:2" ht="18.75" x14ac:dyDescent="0.3">
      <c r="B26" s="586" t="s">
        <v>771</v>
      </c>
    </row>
    <row r="27" spans="2:2" ht="18.75" x14ac:dyDescent="0.3">
      <c r="B27" s="587" t="s">
        <v>772</v>
      </c>
    </row>
    <row r="28" spans="2:2" ht="18.75" x14ac:dyDescent="0.3">
      <c r="B28" s="587" t="s">
        <v>773</v>
      </c>
    </row>
    <row r="29" spans="2:2" ht="18.75" x14ac:dyDescent="0.3">
      <c r="B29" s="587" t="s">
        <v>559</v>
      </c>
    </row>
    <row r="30" spans="2:2" ht="18.75" x14ac:dyDescent="0.3">
      <c r="B30" s="587" t="s">
        <v>560</v>
      </c>
    </row>
    <row r="31" spans="2:2" ht="18.75" x14ac:dyDescent="0.3">
      <c r="B31" s="587" t="s">
        <v>570</v>
      </c>
    </row>
    <row r="32" spans="2:2" ht="18.75" x14ac:dyDescent="0.3">
      <c r="B32" s="587" t="s">
        <v>774</v>
      </c>
    </row>
    <row r="33" spans="2:2" ht="18.75" x14ac:dyDescent="0.3">
      <c r="B33" s="587" t="s">
        <v>620</v>
      </c>
    </row>
    <row r="34" spans="2:2" ht="18.75" x14ac:dyDescent="0.3">
      <c r="B34" s="587" t="s">
        <v>248</v>
      </c>
    </row>
    <row r="35" spans="2:2" ht="18.75" x14ac:dyDescent="0.3">
      <c r="B35" s="587" t="s">
        <v>767</v>
      </c>
    </row>
    <row r="36" spans="2:2" ht="18.75" x14ac:dyDescent="0.3">
      <c r="B36" s="587" t="s">
        <v>271</v>
      </c>
    </row>
    <row r="37" spans="2:2" ht="18.75" x14ac:dyDescent="0.3">
      <c r="B37" s="587" t="s">
        <v>279</v>
      </c>
    </row>
    <row r="38" spans="2:2" ht="18.75" x14ac:dyDescent="0.3">
      <c r="B38" s="587" t="s">
        <v>280</v>
      </c>
    </row>
    <row r="39" spans="2:2" ht="18.75" x14ac:dyDescent="0.3">
      <c r="B39" s="587" t="s">
        <v>775</v>
      </c>
    </row>
    <row r="40" spans="2:2" ht="18.75" x14ac:dyDescent="0.3">
      <c r="B40" s="587" t="s">
        <v>769</v>
      </c>
    </row>
    <row r="41" spans="2:2" ht="18.75" x14ac:dyDescent="0.3">
      <c r="B41" s="587" t="s">
        <v>770</v>
      </c>
    </row>
  </sheetData>
  <mergeCells count="1">
    <mergeCell ref="B4:E4"/>
  </mergeCells>
  <hyperlinks>
    <hyperlink ref="B6" location="Assumptions!A1" display="Assumptions"/>
    <hyperlink ref="B7" location="Recap!A1" display="Recap"/>
    <hyperlink ref="B8" location="'Job Overhead'!A1" display="Job Overhead"/>
    <hyperlink ref="B9" location="SOV!A1" display="SOV"/>
    <hyperlink ref="B12" location="'Site Work'!A1" display="Site Work"/>
    <hyperlink ref="B13" location="Concrete!A1" display="Concrete"/>
    <hyperlink ref="B14" location="'Concrete (2)'!A1" display="Concrete #2"/>
    <hyperlink ref="B15" location="Masonry!A1" display="Masonry"/>
    <hyperlink ref="B16" location="Steel!A1" display="Steel"/>
    <hyperlink ref="B17" location="Wood!A1" display="Wood"/>
    <hyperlink ref="B18" location="Insulation!A1" display="Insulation"/>
    <hyperlink ref="B19" location="'Doors and Windows'!A1" display="Doors &amp; Windows"/>
    <hyperlink ref="B20" location="Finshes!A1" display="Finshes"/>
    <hyperlink ref="B21" location="Specialties!A1" display="Specialites"/>
    <hyperlink ref="B22" location="MEP!A1" display="MEP"/>
    <hyperlink ref="B23" location="' Alternate #1'!A1" display="Alternate #1"/>
    <hyperlink ref="B24" location="'Alternate #2 '!A1" display="Alternate #2"/>
    <hyperlink ref="B27" location="'SW price'!A1" display="Site Work #1"/>
    <hyperlink ref="B28" location="'SW price (2)'!A1" display="Site Work #2"/>
    <hyperlink ref="B29" location="'Concrete Price'!A1" display="Conrete"/>
    <hyperlink ref="B30" location="'Masonry Price'!A1" display="Masonry"/>
    <hyperlink ref="B31" location="Steel!A1" display="Steel"/>
    <hyperlink ref="B32" location="'Wood Price'!A1" display="Rough Carpentry"/>
    <hyperlink ref="B33" location="'Roofing Price'!A1" display="Roofing"/>
    <hyperlink ref="B34" location="'Caulking Price'!A1" display="Caulking"/>
    <hyperlink ref="B35" location="'Doors Windows Price'!A1" display="Doors &amp; Windows"/>
    <hyperlink ref="B36" location="'Flooring Price'!A1" display="Flooring"/>
    <hyperlink ref="B37" location="'Gypsum Board Price'!A1" display="Gypsum Board"/>
    <hyperlink ref="B38" location="'Paint Price'!A1" display="Paint"/>
    <hyperlink ref="B39" location="'MEP Price'!A1" display="MEP "/>
    <hyperlink ref="B40" location="'Alternate #1 price'!A1" display="Alternate #1"/>
    <hyperlink ref="B41" location="'Alternate #2 price'!A1" display="Alternate #2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8"/>
  <sheetViews>
    <sheetView workbookViewId="0">
      <pane ySplit="7" topLeftCell="A8" activePane="bottomLeft" state="frozen"/>
      <selection pane="bottomLeft" activeCell="A6" sqref="A6"/>
    </sheetView>
  </sheetViews>
  <sheetFormatPr defaultRowHeight="12.75" x14ac:dyDescent="0.2"/>
  <cols>
    <col min="1" max="2" width="2.7109375" style="292" customWidth="1"/>
    <col min="3" max="3" width="15.85546875" style="292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290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718</v>
      </c>
      <c r="U1" s="657"/>
      <c r="V1" s="657"/>
    </row>
    <row r="2" spans="1:24" ht="15" x14ac:dyDescent="0.25">
      <c r="A2" s="290"/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291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657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660</v>
      </c>
      <c r="I4" s="656"/>
      <c r="J4" s="656"/>
      <c r="K4" s="656"/>
      <c r="L4" s="656"/>
      <c r="M4" s="656"/>
      <c r="N4" s="656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291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75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525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526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262" t="s">
        <v>645</v>
      </c>
      <c r="D9" s="575">
        <v>10</v>
      </c>
      <c r="E9" s="263">
        <v>4</v>
      </c>
      <c r="F9" s="263" t="s">
        <v>433</v>
      </c>
      <c r="G9" s="434">
        <v>356.42</v>
      </c>
      <c r="H9" s="435">
        <f>G9*E9</f>
        <v>1425.68</v>
      </c>
      <c r="I9" s="436" t="s">
        <v>487</v>
      </c>
      <c r="J9" s="263">
        <v>4</v>
      </c>
      <c r="K9" s="263">
        <f>E9/J9</f>
        <v>1</v>
      </c>
      <c r="L9" s="263">
        <f>8*K9</f>
        <v>8</v>
      </c>
      <c r="M9" s="263" t="s">
        <v>531</v>
      </c>
      <c r="N9" s="437">
        <v>1</v>
      </c>
      <c r="O9" s="434">
        <v>22.05</v>
      </c>
      <c r="P9" s="438">
        <f>O9*L9</f>
        <v>176.4</v>
      </c>
      <c r="Q9" s="439"/>
      <c r="R9" s="434"/>
      <c r="S9" s="435"/>
      <c r="T9" s="478">
        <f>S9+P9+H9</f>
        <v>1602.0800000000002</v>
      </c>
      <c r="U9" s="436">
        <f>T9/E9</f>
        <v>400.52000000000004</v>
      </c>
      <c r="V9" s="441" t="str">
        <f>F9</f>
        <v>ea</v>
      </c>
    </row>
    <row r="10" spans="1:24" x14ac:dyDescent="0.2">
      <c r="A10" s="431"/>
      <c r="B10" s="281"/>
      <c r="C10" s="262"/>
      <c r="D10" s="263"/>
      <c r="E10" s="263"/>
      <c r="F10" s="263"/>
      <c r="G10" s="434"/>
      <c r="H10" s="435"/>
      <c r="I10" s="436"/>
      <c r="J10" s="263"/>
      <c r="K10" s="263"/>
      <c r="L10" s="263"/>
      <c r="M10" s="442"/>
      <c r="N10" s="443"/>
      <c r="O10" s="434"/>
      <c r="P10" s="438"/>
      <c r="Q10" s="439"/>
      <c r="R10" s="434"/>
      <c r="S10" s="435"/>
      <c r="T10" s="478"/>
      <c r="U10" s="436"/>
      <c r="V10" s="441"/>
    </row>
    <row r="11" spans="1:24" ht="15" x14ac:dyDescent="0.25">
      <c r="A11" s="444"/>
      <c r="B11" s="281"/>
      <c r="C11" s="262" t="s">
        <v>646</v>
      </c>
      <c r="D11" s="575">
        <v>10</v>
      </c>
      <c r="E11" s="263">
        <v>2</v>
      </c>
      <c r="F11" s="263" t="s">
        <v>433</v>
      </c>
      <c r="G11" s="434">
        <v>26.1</v>
      </c>
      <c r="H11" s="435">
        <f>G11*E11</f>
        <v>52.2</v>
      </c>
      <c r="I11" s="436" t="s">
        <v>487</v>
      </c>
      <c r="J11" s="263">
        <v>24</v>
      </c>
      <c r="K11" s="263">
        <f>E11/J11</f>
        <v>8.3333333333333329E-2</v>
      </c>
      <c r="L11" s="263">
        <f>8*K11</f>
        <v>0.66666666666666663</v>
      </c>
      <c r="M11" s="263" t="s">
        <v>531</v>
      </c>
      <c r="N11" s="437">
        <v>1</v>
      </c>
      <c r="O11" s="434">
        <v>22.05</v>
      </c>
      <c r="P11" s="438">
        <f>O11*L11</f>
        <v>14.7</v>
      </c>
      <c r="Q11" s="439"/>
      <c r="R11" s="434"/>
      <c r="S11" s="435"/>
      <c r="T11" s="478">
        <f>S11+P11+H11</f>
        <v>66.900000000000006</v>
      </c>
      <c r="U11" s="436">
        <f>T11/E11</f>
        <v>33.450000000000003</v>
      </c>
      <c r="V11" s="441" t="str">
        <f>F11</f>
        <v>ea</v>
      </c>
    </row>
    <row r="12" spans="1:24" x14ac:dyDescent="0.2">
      <c r="A12" s="431"/>
      <c r="B12" s="281"/>
      <c r="C12" s="26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ht="15" x14ac:dyDescent="0.25">
      <c r="A13" s="431"/>
      <c r="B13" s="281"/>
      <c r="C13" s="262" t="s">
        <v>647</v>
      </c>
      <c r="D13" s="575">
        <v>10</v>
      </c>
      <c r="E13" s="263">
        <f>Specialties!I27</f>
        <v>4</v>
      </c>
      <c r="F13" s="263" t="s">
        <v>433</v>
      </c>
      <c r="G13" s="434">
        <v>316.26</v>
      </c>
      <c r="H13" s="435">
        <f>G13*E13</f>
        <v>1265.04</v>
      </c>
      <c r="I13" s="436" t="s">
        <v>487</v>
      </c>
      <c r="J13" s="263">
        <v>8</v>
      </c>
      <c r="K13" s="263">
        <f>E13/J13</f>
        <v>0.5</v>
      </c>
      <c r="L13" s="263">
        <f>8*K13</f>
        <v>4</v>
      </c>
      <c r="M13" s="263" t="s">
        <v>531</v>
      </c>
      <c r="N13" s="437">
        <v>1</v>
      </c>
      <c r="O13" s="434">
        <v>22.05</v>
      </c>
      <c r="P13" s="438">
        <f>O13*L13</f>
        <v>88.2</v>
      </c>
      <c r="Q13" s="439"/>
      <c r="R13" s="434"/>
      <c r="S13" s="435"/>
      <c r="T13" s="478">
        <f>S13+P13+H13</f>
        <v>1353.24</v>
      </c>
      <c r="U13" s="436">
        <f>T13/E13</f>
        <v>338.31</v>
      </c>
      <c r="V13" s="441" t="str">
        <f>F13</f>
        <v>ea</v>
      </c>
    </row>
    <row r="14" spans="1:24" x14ac:dyDescent="0.2">
      <c r="A14" s="444"/>
      <c r="B14" s="281"/>
      <c r="C14" s="26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x14ac:dyDescent="0.2">
      <c r="A15" s="431"/>
      <c r="B15" s="281"/>
      <c r="C15" s="262"/>
      <c r="D15" s="263"/>
      <c r="E15" s="263"/>
      <c r="F15" s="263"/>
      <c r="G15" s="434"/>
      <c r="H15" s="435"/>
      <c r="I15" s="436"/>
      <c r="J15" s="263"/>
      <c r="K15" s="263"/>
      <c r="L15" s="263"/>
      <c r="M15" s="263"/>
      <c r="N15" s="437"/>
      <c r="O15" s="434"/>
      <c r="P15" s="438"/>
      <c r="Q15" s="439"/>
      <c r="R15" s="434"/>
      <c r="S15" s="435"/>
      <c r="T15" s="478"/>
      <c r="U15" s="436"/>
      <c r="V15" s="441"/>
    </row>
    <row r="16" spans="1:24" x14ac:dyDescent="0.2">
      <c r="A16" s="431"/>
      <c r="B16" s="281"/>
      <c r="C16" s="262"/>
      <c r="D16" s="263"/>
      <c r="E16" s="263"/>
      <c r="F16" s="263"/>
      <c r="G16" s="434"/>
      <c r="H16" s="435"/>
      <c r="I16" s="436"/>
      <c r="J16" s="263"/>
      <c r="K16" s="263"/>
      <c r="L16" s="263"/>
      <c r="M16" s="263"/>
      <c r="N16" s="437"/>
      <c r="O16" s="434"/>
      <c r="P16" s="438"/>
      <c r="Q16" s="439"/>
      <c r="R16" s="434"/>
      <c r="S16" s="435"/>
      <c r="T16" s="478"/>
      <c r="U16" s="436"/>
      <c r="V16" s="441"/>
    </row>
    <row r="17" spans="1:22" x14ac:dyDescent="0.2">
      <c r="A17" s="444"/>
      <c r="B17" s="281"/>
      <c r="C17" s="26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262"/>
      <c r="D18" s="263"/>
      <c r="E18" s="263"/>
      <c r="F18" s="263"/>
      <c r="G18" s="434"/>
      <c r="H18" s="435"/>
      <c r="I18" s="436"/>
      <c r="J18" s="263"/>
      <c r="K18" s="263"/>
      <c r="L18" s="263"/>
      <c r="M18" s="263"/>
      <c r="N18" s="437"/>
      <c r="O18" s="434"/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26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26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/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26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26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x14ac:dyDescent="0.2">
      <c r="A23" s="431"/>
      <c r="B23" s="281"/>
      <c r="C23" s="26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26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26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26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26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26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26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26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/>
      <c r="U30" s="436"/>
      <c r="V30" s="441"/>
    </row>
    <row r="31" spans="1:22" x14ac:dyDescent="0.2">
      <c r="A31" s="431"/>
      <c r="B31" s="281"/>
      <c r="C31" s="262"/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26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262"/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/>
      <c r="U33" s="436"/>
      <c r="V33" s="441"/>
    </row>
    <row r="34" spans="1:22" x14ac:dyDescent="0.2">
      <c r="A34" s="431"/>
      <c r="B34" s="281"/>
      <c r="C34" s="26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262"/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/>
      <c r="U35" s="436"/>
      <c r="V35" s="441"/>
    </row>
    <row r="36" spans="1:22" x14ac:dyDescent="0.2">
      <c r="A36" s="431"/>
      <c r="B36" s="281"/>
      <c r="C36" s="26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26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26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26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26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52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8"/>
      <c r="D42" s="460"/>
      <c r="E42" s="460"/>
      <c r="F42" s="460"/>
      <c r="G42" s="460"/>
      <c r="H42" s="461">
        <f>SUM(H8:H41)</f>
        <v>2742.92</v>
      </c>
      <c r="I42" s="462"/>
      <c r="J42" s="463"/>
      <c r="K42" s="461">
        <f>SUM(K8:K41)</f>
        <v>1.5833333333333333</v>
      </c>
      <c r="L42" s="461">
        <f>SUM(L8:L41)</f>
        <v>12.666666666666666</v>
      </c>
      <c r="M42" s="462"/>
      <c r="N42" s="464"/>
      <c r="O42" s="463"/>
      <c r="P42" s="461">
        <f>SUM(P8:P41)</f>
        <v>279.3</v>
      </c>
      <c r="Q42" s="462"/>
      <c r="R42" s="463"/>
      <c r="S42" s="465">
        <f>SUM(S8:S41)</f>
        <v>0</v>
      </c>
      <c r="T42" s="461">
        <f>SUM(T8:T41)</f>
        <v>3022.2200000000003</v>
      </c>
      <c r="U42" s="467" t="s">
        <v>397</v>
      </c>
      <c r="V42" s="468"/>
    </row>
    <row r="43" spans="1:22" x14ac:dyDescent="0.2">
      <c r="N43" s="470"/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N3"/>
    <mergeCell ref="H4:N4"/>
  </mergeCells>
  <hyperlinks>
    <hyperlink ref="D9" location="Specialties!A1" display="Specialties!A1"/>
    <hyperlink ref="D11" location="Specialties!A1" display="Specialties!A1"/>
    <hyperlink ref="D13" location="Specialties!A1" display="Specialties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1"/>
  <sheetViews>
    <sheetView zoomScale="115" zoomScaleNormal="115" workbookViewId="0">
      <pane xSplit="14" ySplit="6" topLeftCell="P7" activePane="bottomRight" state="frozen"/>
      <selection pane="topRight" activeCell="O1" sqref="O1"/>
      <selection pane="bottomLeft" activeCell="A7" sqref="A7"/>
      <selection pane="bottomRight" activeCell="P2" sqref="P2:Q2"/>
    </sheetView>
  </sheetViews>
  <sheetFormatPr defaultRowHeight="12.75" x14ac:dyDescent="0.2"/>
  <cols>
    <col min="1" max="3" width="9.140625" style="301"/>
    <col min="4" max="15" width="9.140625" style="292"/>
    <col min="16" max="16" width="9.140625" style="554"/>
    <col min="17" max="16384" width="9.140625" style="292"/>
  </cols>
  <sheetData>
    <row r="1" spans="1:19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719</v>
      </c>
      <c r="M1" s="620"/>
      <c r="N1" s="287"/>
      <c r="O1" s="302"/>
      <c r="P1" s="556"/>
    </row>
    <row r="2" spans="1:19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9" x14ac:dyDescent="0.2">
      <c r="A3" s="303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  <c r="P3" s="556"/>
    </row>
    <row r="4" spans="1:19" x14ac:dyDescent="0.2">
      <c r="A4" s="710" t="s">
        <v>18</v>
      </c>
      <c r="B4" s="710"/>
      <c r="C4" s="710"/>
      <c r="D4" s="711" t="s">
        <v>659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  <c r="P4" s="288"/>
    </row>
    <row r="5" spans="1:19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293"/>
      <c r="Q5" s="313"/>
      <c r="R5" s="314"/>
      <c r="S5" s="315"/>
    </row>
    <row r="6" spans="1:19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319" t="s">
        <v>742</v>
      </c>
      <c r="Q6" s="704" t="s">
        <v>40</v>
      </c>
      <c r="R6" s="705"/>
      <c r="S6" s="706"/>
    </row>
    <row r="7" spans="1:19" x14ac:dyDescent="0.2">
      <c r="A7" s="593"/>
      <c r="B7" s="594"/>
      <c r="C7" s="595"/>
      <c r="D7" s="322"/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558"/>
      <c r="Q7" s="707"/>
      <c r="R7" s="708"/>
      <c r="S7" s="709"/>
    </row>
    <row r="8" spans="1:19" ht="15" x14ac:dyDescent="0.25">
      <c r="A8" s="694" t="s">
        <v>302</v>
      </c>
      <c r="B8" s="695"/>
      <c r="C8" s="696"/>
      <c r="D8" s="22" t="s">
        <v>739</v>
      </c>
      <c r="E8" s="330"/>
      <c r="F8" s="331"/>
      <c r="G8" s="332"/>
      <c r="H8" s="333"/>
      <c r="I8" s="330">
        <v>7621</v>
      </c>
      <c r="J8" s="24" t="s">
        <v>42</v>
      </c>
      <c r="K8" s="334"/>
      <c r="L8" s="333"/>
      <c r="M8" s="339">
        <f>I8</f>
        <v>7621</v>
      </c>
      <c r="N8" s="336" t="s">
        <v>42</v>
      </c>
      <c r="O8" s="337"/>
      <c r="P8" s="574" t="s">
        <v>757</v>
      </c>
      <c r="Q8" s="787">
        <v>137940</v>
      </c>
      <c r="R8" s="787"/>
      <c r="S8" s="787"/>
    </row>
    <row r="9" spans="1:19" x14ac:dyDescent="0.2">
      <c r="A9" s="694" t="s">
        <v>303</v>
      </c>
      <c r="B9" s="695"/>
      <c r="C9" s="696"/>
      <c r="D9" s="22" t="s">
        <v>740</v>
      </c>
      <c r="E9" s="330"/>
      <c r="F9" s="331"/>
      <c r="G9" s="332"/>
      <c r="H9" s="333"/>
      <c r="I9" s="330">
        <v>7621</v>
      </c>
      <c r="J9" s="24" t="s">
        <v>42</v>
      </c>
      <c r="K9" s="334"/>
      <c r="L9" s="333"/>
      <c r="M9" s="339">
        <f>I9</f>
        <v>7621</v>
      </c>
      <c r="N9" s="336" t="s">
        <v>42</v>
      </c>
      <c r="O9" s="337"/>
      <c r="P9" s="560"/>
      <c r="Q9" s="671">
        <v>147085</v>
      </c>
      <c r="R9" s="672"/>
      <c r="S9" s="673"/>
    </row>
    <row r="10" spans="1:19" x14ac:dyDescent="0.2">
      <c r="A10" s="694" t="s">
        <v>304</v>
      </c>
      <c r="B10" s="695"/>
      <c r="C10" s="696"/>
      <c r="D10" s="22" t="s">
        <v>741</v>
      </c>
      <c r="E10" s="330"/>
      <c r="F10" s="331"/>
      <c r="G10" s="332"/>
      <c r="H10" s="333"/>
      <c r="I10" s="330">
        <v>7621</v>
      </c>
      <c r="J10" s="24" t="s">
        <v>42</v>
      </c>
      <c r="K10" s="334"/>
      <c r="L10" s="333"/>
      <c r="M10" s="339">
        <f>I10</f>
        <v>7621</v>
      </c>
      <c r="N10" s="336" t="s">
        <v>42</v>
      </c>
      <c r="O10" s="337"/>
      <c r="P10" s="560"/>
      <c r="Q10" s="671">
        <v>101359</v>
      </c>
      <c r="R10" s="672"/>
      <c r="S10" s="673"/>
    </row>
    <row r="11" spans="1:19" x14ac:dyDescent="0.2">
      <c r="A11" s="668"/>
      <c r="B11" s="669"/>
      <c r="C11" s="670"/>
      <c r="D11" s="338"/>
      <c r="E11" s="330"/>
      <c r="F11" s="331"/>
      <c r="G11" s="332"/>
      <c r="H11" s="333"/>
      <c r="I11" s="330"/>
      <c r="J11" s="333"/>
      <c r="K11" s="334"/>
      <c r="L11" s="333"/>
      <c r="M11" s="330"/>
      <c r="N11" s="333"/>
      <c r="O11" s="337"/>
      <c r="P11" s="560"/>
      <c r="Q11" s="671">
        <f>SUM(Q8:Q10)</f>
        <v>386384</v>
      </c>
      <c r="R11" s="672"/>
      <c r="S11" s="673"/>
    </row>
    <row r="12" spans="1:19" x14ac:dyDescent="0.2">
      <c r="A12" s="668"/>
      <c r="B12" s="669"/>
      <c r="C12" s="670"/>
      <c r="D12" s="338"/>
      <c r="E12" s="330"/>
      <c r="F12" s="331"/>
      <c r="G12" s="332"/>
      <c r="H12" s="333"/>
      <c r="I12" s="330"/>
      <c r="J12" s="333"/>
      <c r="K12" s="334"/>
      <c r="L12" s="333"/>
      <c r="M12" s="330"/>
      <c r="N12" s="333"/>
      <c r="O12" s="337"/>
      <c r="P12" s="560"/>
      <c r="Q12" s="671"/>
      <c r="R12" s="672"/>
      <c r="S12" s="673"/>
    </row>
    <row r="13" spans="1:19" x14ac:dyDescent="0.2">
      <c r="A13" s="668"/>
      <c r="B13" s="669"/>
      <c r="C13" s="670"/>
      <c r="D13" s="338"/>
      <c r="E13" s="330"/>
      <c r="F13" s="331"/>
      <c r="G13" s="332"/>
      <c r="H13" s="333"/>
      <c r="I13" s="330"/>
      <c r="J13" s="340"/>
      <c r="K13" s="334"/>
      <c r="L13" s="24"/>
      <c r="M13" s="330"/>
      <c r="N13" s="333"/>
      <c r="O13" s="337"/>
      <c r="P13" s="560"/>
      <c r="Q13" s="671"/>
      <c r="R13" s="672"/>
      <c r="S13" s="673"/>
    </row>
    <row r="14" spans="1:19" x14ac:dyDescent="0.2">
      <c r="A14" s="668"/>
      <c r="B14" s="669"/>
      <c r="C14" s="670"/>
      <c r="D14" s="338"/>
      <c r="E14" s="330"/>
      <c r="F14" s="331"/>
      <c r="G14" s="332"/>
      <c r="H14" s="333"/>
      <c r="I14" s="330"/>
      <c r="J14" s="333"/>
      <c r="K14" s="60"/>
      <c r="L14" s="333"/>
      <c r="M14" s="341"/>
      <c r="N14" s="33"/>
      <c r="O14" s="283"/>
      <c r="P14" s="559"/>
      <c r="Q14" s="671"/>
      <c r="R14" s="672"/>
      <c r="S14" s="673"/>
    </row>
    <row r="15" spans="1:19" x14ac:dyDescent="0.2">
      <c r="A15" s="668"/>
      <c r="B15" s="669"/>
      <c r="C15" s="670"/>
      <c r="D15" s="338"/>
      <c r="E15" s="330"/>
      <c r="F15" s="331"/>
      <c r="G15" s="332"/>
      <c r="H15" s="333"/>
      <c r="I15" s="330"/>
      <c r="J15" s="333"/>
      <c r="K15" s="334"/>
      <c r="L15" s="333"/>
      <c r="M15" s="343"/>
      <c r="N15" s="344"/>
      <c r="O15" s="337"/>
      <c r="P15" s="560"/>
      <c r="Q15" s="671"/>
      <c r="R15" s="672"/>
      <c r="S15" s="673"/>
    </row>
    <row r="16" spans="1:19" x14ac:dyDescent="0.2">
      <c r="A16" s="612"/>
      <c r="B16" s="613"/>
      <c r="C16" s="614"/>
      <c r="D16" s="338"/>
      <c r="E16" s="330"/>
      <c r="F16" s="331"/>
      <c r="G16" s="332"/>
      <c r="H16" s="333"/>
      <c r="I16" s="330"/>
      <c r="J16" s="333"/>
      <c r="K16" s="334"/>
      <c r="L16" s="333"/>
      <c r="M16" s="343"/>
      <c r="N16" s="344"/>
      <c r="O16" s="337"/>
      <c r="P16" s="560"/>
      <c r="Q16" s="671"/>
      <c r="R16" s="672"/>
      <c r="S16" s="673"/>
    </row>
    <row r="17" spans="1:19" x14ac:dyDescent="0.2">
      <c r="A17" s="609"/>
      <c r="B17" s="610"/>
      <c r="C17" s="611"/>
      <c r="D17" s="338"/>
      <c r="E17" s="330"/>
      <c r="F17" s="331"/>
      <c r="G17" s="332"/>
      <c r="H17" s="333"/>
      <c r="I17" s="330"/>
      <c r="J17" s="333"/>
      <c r="K17" s="334"/>
      <c r="L17" s="333"/>
      <c r="M17" s="343"/>
      <c r="N17" s="344"/>
      <c r="O17" s="337"/>
      <c r="P17" s="560"/>
      <c r="Q17" s="671"/>
      <c r="R17" s="672"/>
      <c r="S17" s="673"/>
    </row>
    <row r="18" spans="1:19" x14ac:dyDescent="0.2">
      <c r="A18" s="668"/>
      <c r="B18" s="669"/>
      <c r="C18" s="670"/>
      <c r="D18" s="22"/>
      <c r="E18" s="330"/>
      <c r="F18" s="331"/>
      <c r="G18" s="332"/>
      <c r="H18" s="333"/>
      <c r="I18" s="330"/>
      <c r="J18" s="24"/>
      <c r="K18" s="346"/>
      <c r="L18" s="24"/>
      <c r="M18" s="343"/>
      <c r="N18" s="344"/>
      <c r="O18" s="337"/>
      <c r="P18" s="560"/>
      <c r="Q18" s="671"/>
      <c r="R18" s="672"/>
      <c r="S18" s="673"/>
    </row>
    <row r="19" spans="1:19" x14ac:dyDescent="0.2">
      <c r="A19" s="668"/>
      <c r="B19" s="669"/>
      <c r="C19" s="670"/>
      <c r="D19" s="22"/>
      <c r="E19" s="330"/>
      <c r="F19" s="331"/>
      <c r="G19" s="332"/>
      <c r="H19" s="333"/>
      <c r="I19" s="330"/>
      <c r="J19" s="333"/>
      <c r="K19" s="334"/>
      <c r="L19" s="333"/>
      <c r="M19" s="343"/>
      <c r="N19" s="344"/>
      <c r="O19" s="337"/>
      <c r="P19" s="560"/>
      <c r="Q19" s="671"/>
      <c r="R19" s="672"/>
      <c r="S19" s="673"/>
    </row>
    <row r="20" spans="1:19" x14ac:dyDescent="0.2">
      <c r="A20" s="668"/>
      <c r="B20" s="669"/>
      <c r="C20" s="670"/>
      <c r="D20" s="338"/>
      <c r="E20" s="330"/>
      <c r="F20" s="331"/>
      <c r="G20" s="332"/>
      <c r="H20" s="333"/>
      <c r="I20" s="347"/>
      <c r="J20" s="333"/>
      <c r="K20" s="334"/>
      <c r="L20" s="333"/>
      <c r="M20" s="343"/>
      <c r="N20" s="344"/>
      <c r="O20" s="337"/>
      <c r="P20" s="560"/>
      <c r="Q20" s="671"/>
      <c r="R20" s="672"/>
      <c r="S20" s="673"/>
    </row>
    <row r="21" spans="1:19" x14ac:dyDescent="0.2">
      <c r="A21" s="609"/>
      <c r="B21" s="610"/>
      <c r="C21" s="611"/>
      <c r="D21" s="338"/>
      <c r="E21" s="330"/>
      <c r="F21" s="331"/>
      <c r="G21" s="332"/>
      <c r="H21" s="333"/>
      <c r="I21" s="330"/>
      <c r="J21" s="333"/>
      <c r="K21" s="334"/>
      <c r="L21" s="333"/>
      <c r="M21" s="343"/>
      <c r="N21" s="344"/>
      <c r="O21" s="337"/>
      <c r="P21" s="560"/>
      <c r="Q21" s="671"/>
      <c r="R21" s="672"/>
      <c r="S21" s="673"/>
    </row>
    <row r="22" spans="1:19" x14ac:dyDescent="0.2">
      <c r="A22" s="668"/>
      <c r="B22" s="669"/>
      <c r="C22" s="670"/>
      <c r="D22" s="338"/>
      <c r="E22" s="330"/>
      <c r="F22" s="331"/>
      <c r="G22" s="332"/>
      <c r="H22" s="333"/>
      <c r="I22" s="330"/>
      <c r="J22" s="333"/>
      <c r="K22" s="334"/>
      <c r="L22" s="333"/>
      <c r="M22" s="343"/>
      <c r="N22" s="344"/>
      <c r="O22" s="337"/>
      <c r="P22" s="560"/>
      <c r="Q22" s="671"/>
      <c r="R22" s="672"/>
      <c r="S22" s="673"/>
    </row>
    <row r="23" spans="1:19" x14ac:dyDescent="0.2">
      <c r="A23" s="668"/>
      <c r="B23" s="669"/>
      <c r="C23" s="670"/>
      <c r="D23" s="338"/>
      <c r="E23" s="330"/>
      <c r="F23" s="331"/>
      <c r="G23" s="332"/>
      <c r="H23" s="333"/>
      <c r="I23" s="330"/>
      <c r="J23" s="333"/>
      <c r="K23" s="334"/>
      <c r="L23" s="333"/>
      <c r="M23" s="343"/>
      <c r="N23" s="344"/>
      <c r="O23" s="337"/>
      <c r="P23" s="560"/>
      <c r="Q23" s="671"/>
      <c r="R23" s="672"/>
      <c r="S23" s="673"/>
    </row>
    <row r="24" spans="1:19" x14ac:dyDescent="0.2">
      <c r="A24" s="686"/>
      <c r="B24" s="687"/>
      <c r="C24" s="688"/>
      <c r="D24" s="338"/>
      <c r="E24" s="330"/>
      <c r="F24" s="331"/>
      <c r="G24" s="332"/>
      <c r="H24" s="333"/>
      <c r="I24" s="330"/>
      <c r="J24" s="333"/>
      <c r="K24" s="334"/>
      <c r="L24" s="333"/>
      <c r="M24" s="343"/>
      <c r="N24" s="344"/>
      <c r="O24" s="337"/>
      <c r="P24" s="560"/>
      <c r="Q24" s="671"/>
      <c r="R24" s="672"/>
      <c r="S24" s="673"/>
    </row>
    <row r="25" spans="1:19" x14ac:dyDescent="0.2">
      <c r="A25" s="690"/>
      <c r="B25" s="669"/>
      <c r="C25" s="670"/>
      <c r="D25" s="348"/>
      <c r="E25" s="330"/>
      <c r="F25" s="331"/>
      <c r="G25" s="332"/>
      <c r="H25" s="333"/>
      <c r="I25" s="347"/>
      <c r="J25" s="333"/>
      <c r="K25" s="334"/>
      <c r="L25" s="333"/>
      <c r="M25" s="343"/>
      <c r="N25" s="344"/>
      <c r="O25" s="337"/>
      <c r="P25" s="560"/>
      <c r="Q25" s="671"/>
      <c r="R25" s="672"/>
      <c r="S25" s="673"/>
    </row>
    <row r="26" spans="1:19" x14ac:dyDescent="0.2">
      <c r="A26" s="690"/>
      <c r="B26" s="669"/>
      <c r="C26" s="670"/>
      <c r="D26" s="348"/>
      <c r="E26" s="330"/>
      <c r="F26" s="331"/>
      <c r="G26" s="332"/>
      <c r="H26" s="333"/>
      <c r="I26" s="330"/>
      <c r="J26" s="333"/>
      <c r="K26" s="334"/>
      <c r="L26" s="333"/>
      <c r="M26" s="343"/>
      <c r="N26" s="344"/>
      <c r="O26" s="337"/>
      <c r="P26" s="560"/>
      <c r="Q26" s="671"/>
      <c r="R26" s="672"/>
      <c r="S26" s="673"/>
    </row>
    <row r="27" spans="1:19" x14ac:dyDescent="0.2">
      <c r="A27" s="690"/>
      <c r="B27" s="669"/>
      <c r="C27" s="670"/>
      <c r="D27" s="348"/>
      <c r="E27" s="330"/>
      <c r="F27" s="331"/>
      <c r="G27" s="332"/>
      <c r="H27" s="333"/>
      <c r="I27" s="330"/>
      <c r="J27" s="333"/>
      <c r="K27" s="334"/>
      <c r="L27" s="333"/>
      <c r="M27" s="343"/>
      <c r="N27" s="344"/>
      <c r="O27" s="337"/>
      <c r="P27" s="560"/>
      <c r="Q27" s="671"/>
      <c r="R27" s="672"/>
      <c r="S27" s="673"/>
    </row>
    <row r="28" spans="1:19" x14ac:dyDescent="0.2">
      <c r="A28" s="690"/>
      <c r="B28" s="669"/>
      <c r="C28" s="670"/>
      <c r="D28" s="348"/>
      <c r="E28" s="330"/>
      <c r="F28" s="331"/>
      <c r="G28" s="332"/>
      <c r="H28" s="333"/>
      <c r="I28" s="330"/>
      <c r="J28" s="333"/>
      <c r="K28" s="334"/>
      <c r="L28" s="333"/>
      <c r="M28" s="343"/>
      <c r="N28" s="344"/>
      <c r="O28" s="337"/>
      <c r="P28" s="560"/>
      <c r="Q28" s="671"/>
      <c r="R28" s="672"/>
      <c r="S28" s="673"/>
    </row>
    <row r="29" spans="1:19" x14ac:dyDescent="0.2">
      <c r="A29" s="690"/>
      <c r="B29" s="669"/>
      <c r="C29" s="670"/>
      <c r="D29" s="348"/>
      <c r="E29" s="330"/>
      <c r="F29" s="331"/>
      <c r="G29" s="332"/>
      <c r="H29" s="333"/>
      <c r="I29" s="330"/>
      <c r="J29" s="333"/>
      <c r="K29" s="334"/>
      <c r="L29" s="333"/>
      <c r="M29" s="343"/>
      <c r="N29" s="344"/>
      <c r="O29" s="337"/>
      <c r="P29" s="560"/>
      <c r="Q29" s="671"/>
      <c r="R29" s="672"/>
      <c r="S29" s="673"/>
    </row>
    <row r="30" spans="1:19" x14ac:dyDescent="0.2">
      <c r="A30" s="690"/>
      <c r="B30" s="669"/>
      <c r="C30" s="670"/>
      <c r="D30" s="348"/>
      <c r="E30" s="330"/>
      <c r="F30" s="331"/>
      <c r="G30" s="332"/>
      <c r="H30" s="333"/>
      <c r="I30" s="330"/>
      <c r="J30" s="333"/>
      <c r="K30" s="334"/>
      <c r="L30" s="333"/>
      <c r="M30" s="343"/>
      <c r="N30" s="344"/>
      <c r="O30" s="337"/>
      <c r="P30" s="560"/>
      <c r="Q30" s="671"/>
      <c r="R30" s="672"/>
      <c r="S30" s="673"/>
    </row>
    <row r="31" spans="1:19" x14ac:dyDescent="0.2">
      <c r="A31" s="690"/>
      <c r="B31" s="669"/>
      <c r="C31" s="670"/>
      <c r="D31" s="348"/>
      <c r="E31" s="330"/>
      <c r="F31" s="331"/>
      <c r="G31" s="332"/>
      <c r="H31" s="333"/>
      <c r="I31" s="330"/>
      <c r="J31" s="333"/>
      <c r="K31" s="334"/>
      <c r="L31" s="333"/>
      <c r="M31" s="343"/>
      <c r="N31" s="344"/>
      <c r="O31" s="337"/>
      <c r="P31" s="560"/>
      <c r="Q31" s="671"/>
      <c r="R31" s="672"/>
      <c r="S31" s="673"/>
    </row>
    <row r="32" spans="1:19" x14ac:dyDescent="0.2">
      <c r="A32" s="619"/>
      <c r="B32" s="620"/>
      <c r="C32" s="621"/>
      <c r="D32" s="338"/>
      <c r="E32" s="330"/>
      <c r="F32" s="331"/>
      <c r="G32" s="332"/>
      <c r="H32" s="333"/>
      <c r="I32" s="330"/>
      <c r="J32" s="333"/>
      <c r="K32" s="334"/>
      <c r="L32" s="333"/>
      <c r="M32" s="343"/>
      <c r="N32" s="344"/>
      <c r="O32" s="337"/>
      <c r="P32" s="560"/>
      <c r="Q32" s="671"/>
      <c r="R32" s="672"/>
      <c r="S32" s="673"/>
    </row>
    <row r="33" spans="1:19" x14ac:dyDescent="0.2">
      <c r="A33" s="668"/>
      <c r="B33" s="669"/>
      <c r="C33" s="670"/>
      <c r="D33" s="22"/>
      <c r="E33" s="330"/>
      <c r="F33" s="331"/>
      <c r="G33" s="332"/>
      <c r="H33" s="333"/>
      <c r="I33" s="330"/>
      <c r="J33" s="333"/>
      <c r="K33" s="334"/>
      <c r="L33" s="333"/>
      <c r="M33" s="343"/>
      <c r="N33" s="344"/>
      <c r="O33" s="337"/>
      <c r="P33" s="560"/>
      <c r="Q33" s="671"/>
      <c r="R33" s="672"/>
      <c r="S33" s="673"/>
    </row>
    <row r="34" spans="1:19" x14ac:dyDescent="0.2">
      <c r="A34" s="668"/>
      <c r="B34" s="669"/>
      <c r="C34" s="670"/>
      <c r="D34" s="338"/>
      <c r="E34" s="330"/>
      <c r="F34" s="331"/>
      <c r="G34" s="332"/>
      <c r="H34" s="333"/>
      <c r="I34" s="330"/>
      <c r="J34" s="333"/>
      <c r="K34" s="334"/>
      <c r="L34" s="24"/>
      <c r="M34" s="343"/>
      <c r="N34" s="344"/>
      <c r="O34" s="337"/>
      <c r="P34" s="560"/>
      <c r="Q34" s="671"/>
      <c r="R34" s="672"/>
      <c r="S34" s="673"/>
    </row>
    <row r="35" spans="1:19" x14ac:dyDescent="0.2">
      <c r="A35" s="668"/>
      <c r="B35" s="669"/>
      <c r="C35" s="670"/>
      <c r="D35" s="338"/>
      <c r="E35" s="330"/>
      <c r="F35" s="331"/>
      <c r="G35" s="332"/>
      <c r="H35" s="333"/>
      <c r="I35" s="330"/>
      <c r="J35" s="333"/>
      <c r="K35" s="60"/>
      <c r="L35" s="333"/>
      <c r="M35" s="341"/>
      <c r="N35" s="33"/>
      <c r="O35" s="337"/>
      <c r="P35" s="560"/>
      <c r="Q35" s="671"/>
      <c r="R35" s="672"/>
      <c r="S35" s="673"/>
    </row>
    <row r="36" spans="1:19" x14ac:dyDescent="0.2">
      <c r="A36" s="668"/>
      <c r="B36" s="669"/>
      <c r="C36" s="670"/>
      <c r="D36" s="338"/>
      <c r="E36" s="330"/>
      <c r="F36" s="331"/>
      <c r="G36" s="332"/>
      <c r="H36" s="333"/>
      <c r="I36" s="330"/>
      <c r="J36" s="333"/>
      <c r="K36" s="334"/>
      <c r="L36" s="333"/>
      <c r="M36" s="343"/>
      <c r="N36" s="344"/>
      <c r="O36" s="337"/>
      <c r="P36" s="560"/>
      <c r="Q36" s="671"/>
      <c r="R36" s="672"/>
      <c r="S36" s="673"/>
    </row>
    <row r="37" spans="1:19" x14ac:dyDescent="0.2">
      <c r="A37" s="612"/>
      <c r="B37" s="613"/>
      <c r="C37" s="614"/>
      <c r="D37" s="338"/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560"/>
      <c r="Q37" s="671"/>
      <c r="R37" s="672"/>
      <c r="S37" s="673"/>
    </row>
    <row r="38" spans="1:19" x14ac:dyDescent="0.2">
      <c r="A38" s="609"/>
      <c r="B38" s="610"/>
      <c r="C38" s="611"/>
      <c r="D38" s="338"/>
      <c r="E38" s="330"/>
      <c r="F38" s="331"/>
      <c r="G38" s="332"/>
      <c r="H38" s="333"/>
      <c r="I38" s="330"/>
      <c r="J38" s="333"/>
      <c r="K38" s="334"/>
      <c r="L38" s="333"/>
      <c r="M38" s="343"/>
      <c r="N38" s="344"/>
      <c r="O38" s="337"/>
      <c r="P38" s="560"/>
      <c r="Q38" s="671"/>
      <c r="R38" s="672"/>
      <c r="S38" s="673"/>
    </row>
    <row r="39" spans="1:19" x14ac:dyDescent="0.2">
      <c r="A39" s="668"/>
      <c r="B39" s="669"/>
      <c r="C39" s="670"/>
      <c r="D39" s="338"/>
      <c r="E39" s="330"/>
      <c r="F39" s="331"/>
      <c r="G39" s="332"/>
      <c r="H39" s="333"/>
      <c r="I39" s="347"/>
      <c r="J39" s="333"/>
      <c r="K39" s="334"/>
      <c r="L39" s="333"/>
      <c r="M39" s="343"/>
      <c r="N39" s="344"/>
      <c r="O39" s="337"/>
      <c r="P39" s="560"/>
      <c r="Q39" s="671"/>
      <c r="R39" s="672"/>
      <c r="S39" s="673"/>
    </row>
    <row r="40" spans="1:19" x14ac:dyDescent="0.2">
      <c r="A40" s="668"/>
      <c r="B40" s="669"/>
      <c r="C40" s="670"/>
      <c r="D40" s="338"/>
      <c r="E40" s="330"/>
      <c r="F40" s="331"/>
      <c r="G40" s="332"/>
      <c r="H40" s="333"/>
      <c r="I40" s="330"/>
      <c r="J40" s="333"/>
      <c r="K40" s="334"/>
      <c r="L40" s="333"/>
      <c r="M40" s="343"/>
      <c r="N40" s="344"/>
      <c r="O40" s="337"/>
      <c r="P40" s="560"/>
      <c r="Q40" s="671"/>
      <c r="R40" s="672"/>
      <c r="S40" s="673"/>
    </row>
    <row r="41" spans="1:19" x14ac:dyDescent="0.2">
      <c r="A41" s="609"/>
      <c r="B41" s="610"/>
      <c r="C41" s="611"/>
      <c r="D41" s="338"/>
      <c r="E41" s="330"/>
      <c r="F41" s="331"/>
      <c r="G41" s="332"/>
      <c r="H41" s="333"/>
      <c r="I41" s="330"/>
      <c r="J41" s="333"/>
      <c r="K41" s="334"/>
      <c r="L41" s="333"/>
      <c r="M41" s="343"/>
      <c r="N41" s="344"/>
      <c r="O41" s="337"/>
      <c r="P41" s="560"/>
      <c r="Q41" s="671"/>
      <c r="R41" s="672"/>
      <c r="S41" s="673"/>
    </row>
    <row r="42" spans="1:19" x14ac:dyDescent="0.2">
      <c r="A42" s="668"/>
      <c r="B42" s="669"/>
      <c r="C42" s="670"/>
      <c r="D42" s="338"/>
      <c r="E42" s="330"/>
      <c r="F42" s="331"/>
      <c r="G42" s="332"/>
      <c r="H42" s="333"/>
      <c r="I42" s="347"/>
      <c r="J42" s="333"/>
      <c r="K42" s="334"/>
      <c r="L42" s="333"/>
      <c r="M42" s="343"/>
      <c r="N42" s="344"/>
      <c r="O42" s="337"/>
      <c r="P42" s="560"/>
      <c r="Q42" s="671"/>
      <c r="R42" s="672"/>
      <c r="S42" s="673"/>
    </row>
    <row r="43" spans="1:19" x14ac:dyDescent="0.2">
      <c r="A43" s="668"/>
      <c r="B43" s="669"/>
      <c r="C43" s="670"/>
      <c r="D43" s="338"/>
      <c r="E43" s="330"/>
      <c r="F43" s="331"/>
      <c r="G43" s="332"/>
      <c r="H43" s="333"/>
      <c r="I43" s="347"/>
      <c r="J43" s="333"/>
      <c r="K43" s="334"/>
      <c r="L43" s="333"/>
      <c r="M43" s="343"/>
      <c r="N43" s="344"/>
      <c r="O43" s="337"/>
      <c r="P43" s="560"/>
      <c r="Q43" s="671"/>
      <c r="R43" s="672"/>
      <c r="S43" s="673"/>
    </row>
    <row r="44" spans="1:19" x14ac:dyDescent="0.2">
      <c r="A44" s="668"/>
      <c r="B44" s="669"/>
      <c r="C44" s="670"/>
      <c r="D44" s="338"/>
      <c r="E44" s="330"/>
      <c r="F44" s="331"/>
      <c r="G44" s="332"/>
      <c r="H44" s="333"/>
      <c r="I44" s="347"/>
      <c r="J44" s="333"/>
      <c r="K44" s="334"/>
      <c r="L44" s="333"/>
      <c r="M44" s="343"/>
      <c r="N44" s="344"/>
      <c r="O44" s="337"/>
      <c r="P44" s="560"/>
      <c r="Q44" s="671"/>
      <c r="R44" s="672"/>
      <c r="S44" s="673"/>
    </row>
    <row r="45" spans="1:19" x14ac:dyDescent="0.2">
      <c r="A45" s="609"/>
      <c r="B45" s="610"/>
      <c r="C45" s="611"/>
      <c r="D45" s="338"/>
      <c r="E45" s="330"/>
      <c r="F45" s="331"/>
      <c r="G45" s="332"/>
      <c r="H45" s="333"/>
      <c r="I45" s="330"/>
      <c r="J45" s="333"/>
      <c r="K45" s="334"/>
      <c r="L45" s="333"/>
      <c r="M45" s="343"/>
      <c r="N45" s="344"/>
      <c r="O45" s="337"/>
      <c r="P45" s="560"/>
      <c r="Q45" s="671"/>
      <c r="R45" s="672"/>
      <c r="S45" s="673"/>
    </row>
    <row r="46" spans="1:19" x14ac:dyDescent="0.2">
      <c r="A46" s="668"/>
      <c r="B46" s="669"/>
      <c r="C46" s="670"/>
      <c r="D46" s="338"/>
      <c r="E46" s="330"/>
      <c r="F46" s="331"/>
      <c r="G46" s="332"/>
      <c r="H46" s="333"/>
      <c r="I46" s="347"/>
      <c r="J46" s="24"/>
      <c r="K46" s="334"/>
      <c r="L46" s="333"/>
      <c r="M46" s="343"/>
      <c r="N46" s="344"/>
      <c r="O46" s="337"/>
      <c r="P46" s="560"/>
      <c r="Q46" s="671"/>
      <c r="R46" s="672"/>
      <c r="S46" s="673"/>
    </row>
    <row r="47" spans="1:19" x14ac:dyDescent="0.2">
      <c r="A47" s="668"/>
      <c r="B47" s="669"/>
      <c r="C47" s="670"/>
      <c r="D47" s="338"/>
      <c r="E47" s="330"/>
      <c r="F47" s="331"/>
      <c r="G47" s="332"/>
      <c r="H47" s="333"/>
      <c r="I47" s="347"/>
      <c r="J47" s="333"/>
      <c r="K47" s="334"/>
      <c r="L47" s="333"/>
      <c r="M47" s="343"/>
      <c r="N47" s="344"/>
      <c r="O47" s="337"/>
      <c r="P47" s="560"/>
      <c r="Q47" s="671"/>
      <c r="R47" s="672"/>
      <c r="S47" s="673"/>
    </row>
    <row r="48" spans="1:19" x14ac:dyDescent="0.2">
      <c r="A48" s="668"/>
      <c r="B48" s="669"/>
      <c r="C48" s="670"/>
      <c r="D48" s="338"/>
      <c r="E48" s="330"/>
      <c r="F48" s="331"/>
      <c r="G48" s="332"/>
      <c r="H48" s="333"/>
      <c r="I48" s="347"/>
      <c r="J48" s="333"/>
      <c r="K48" s="334"/>
      <c r="L48" s="333"/>
      <c r="M48" s="343"/>
      <c r="N48" s="344"/>
      <c r="O48" s="337"/>
      <c r="P48" s="560"/>
      <c r="Q48" s="671"/>
      <c r="R48" s="672"/>
      <c r="S48" s="673"/>
    </row>
    <row r="49" spans="1:19" x14ac:dyDescent="0.2">
      <c r="A49" s="668"/>
      <c r="B49" s="669"/>
      <c r="C49" s="670"/>
      <c r="D49" s="338"/>
      <c r="E49" s="330"/>
      <c r="F49" s="331"/>
      <c r="G49" s="332"/>
      <c r="H49" s="333"/>
      <c r="I49" s="347"/>
      <c r="J49" s="333"/>
      <c r="K49" s="334"/>
      <c r="L49" s="333"/>
      <c r="M49" s="343"/>
      <c r="N49" s="344"/>
      <c r="O49" s="337"/>
      <c r="P49" s="560"/>
      <c r="Q49" s="671"/>
      <c r="R49" s="672"/>
      <c r="S49" s="673"/>
    </row>
    <row r="50" spans="1:19" x14ac:dyDescent="0.2">
      <c r="A50" s="668"/>
      <c r="B50" s="669"/>
      <c r="C50" s="670"/>
      <c r="D50" s="338"/>
      <c r="E50" s="330"/>
      <c r="F50" s="331"/>
      <c r="G50" s="281"/>
      <c r="H50" s="333"/>
      <c r="I50" s="347"/>
      <c r="J50" s="333"/>
      <c r="K50" s="334"/>
      <c r="L50" s="333"/>
      <c r="M50" s="343"/>
      <c r="N50" s="344"/>
      <c r="O50" s="337"/>
      <c r="P50" s="560"/>
      <c r="Q50" s="671"/>
      <c r="R50" s="672"/>
      <c r="S50" s="673"/>
    </row>
    <row r="51" spans="1:19" x14ac:dyDescent="0.2">
      <c r="A51" s="609"/>
      <c r="B51" s="610"/>
      <c r="C51" s="611"/>
      <c r="D51" s="338"/>
      <c r="E51" s="330"/>
      <c r="F51" s="331"/>
      <c r="G51" s="332"/>
      <c r="H51" s="333"/>
      <c r="I51" s="330"/>
      <c r="J51" s="333"/>
      <c r="K51" s="334"/>
      <c r="L51" s="333"/>
      <c r="M51" s="343"/>
      <c r="N51" s="344"/>
      <c r="O51" s="337"/>
      <c r="P51" s="560"/>
      <c r="Q51" s="671"/>
      <c r="R51" s="672"/>
      <c r="S51" s="673"/>
    </row>
    <row r="52" spans="1:19" x14ac:dyDescent="0.2">
      <c r="A52" s="668"/>
      <c r="B52" s="669"/>
      <c r="C52" s="670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560"/>
      <c r="Q52" s="671"/>
      <c r="R52" s="672"/>
      <c r="S52" s="673"/>
    </row>
    <row r="53" spans="1:19" x14ac:dyDescent="0.2">
      <c r="A53" s="668"/>
      <c r="B53" s="669"/>
      <c r="C53" s="670"/>
      <c r="D53" s="338"/>
      <c r="E53" s="330"/>
      <c r="F53" s="331"/>
      <c r="G53" s="332"/>
      <c r="H53" s="333"/>
      <c r="I53" s="330"/>
      <c r="J53" s="333"/>
      <c r="K53" s="349"/>
      <c r="L53" s="24"/>
      <c r="M53" s="343"/>
      <c r="N53" s="344"/>
      <c r="O53" s="337"/>
      <c r="P53" s="560"/>
      <c r="Q53" s="671"/>
      <c r="R53" s="672"/>
      <c r="S53" s="673"/>
    </row>
    <row r="54" spans="1:19" x14ac:dyDescent="0.2">
      <c r="A54" s="668"/>
      <c r="B54" s="669"/>
      <c r="C54" s="670"/>
      <c r="D54" s="338"/>
      <c r="E54" s="330"/>
      <c r="F54" s="331"/>
      <c r="G54" s="332"/>
      <c r="H54" s="333"/>
      <c r="I54" s="330"/>
      <c r="J54" s="333"/>
      <c r="K54" s="60"/>
      <c r="L54" s="333"/>
      <c r="M54" s="341"/>
      <c r="N54" s="33"/>
      <c r="O54" s="337"/>
      <c r="P54" s="560"/>
      <c r="Q54" s="671"/>
      <c r="R54" s="672"/>
      <c r="S54" s="673"/>
    </row>
    <row r="55" spans="1:19" x14ac:dyDescent="0.2">
      <c r="A55" s="668"/>
      <c r="B55" s="669"/>
      <c r="C55" s="670"/>
      <c r="D55" s="338"/>
      <c r="E55" s="330"/>
      <c r="F55" s="331"/>
      <c r="G55" s="332"/>
      <c r="H55" s="333"/>
      <c r="I55" s="330"/>
      <c r="J55" s="333"/>
      <c r="K55" s="334"/>
      <c r="L55" s="333"/>
      <c r="M55" s="343"/>
      <c r="N55" s="344"/>
      <c r="O55" s="337"/>
      <c r="P55" s="560"/>
      <c r="Q55" s="671"/>
      <c r="R55" s="672"/>
      <c r="S55" s="673"/>
    </row>
    <row r="56" spans="1:19" x14ac:dyDescent="0.2">
      <c r="A56" s="612"/>
      <c r="B56" s="613"/>
      <c r="C56" s="614"/>
      <c r="D56" s="338"/>
      <c r="E56" s="330"/>
      <c r="F56" s="331"/>
      <c r="G56" s="332"/>
      <c r="H56" s="333"/>
      <c r="I56" s="330"/>
      <c r="J56" s="333"/>
      <c r="K56" s="334"/>
      <c r="L56" s="333"/>
      <c r="M56" s="343"/>
      <c r="N56" s="344"/>
      <c r="O56" s="337"/>
      <c r="P56" s="560"/>
      <c r="Q56" s="671"/>
      <c r="R56" s="672"/>
      <c r="S56" s="673"/>
    </row>
    <row r="57" spans="1:19" x14ac:dyDescent="0.2">
      <c r="A57" s="668"/>
      <c r="B57" s="669"/>
      <c r="C57" s="670"/>
      <c r="D57" s="22"/>
      <c r="E57" s="330"/>
      <c r="F57" s="331"/>
      <c r="G57" s="332"/>
      <c r="H57" s="333"/>
      <c r="I57" s="330"/>
      <c r="J57" s="24"/>
      <c r="K57" s="334"/>
      <c r="L57" s="333"/>
      <c r="M57" s="343"/>
      <c r="N57" s="344"/>
      <c r="O57" s="337"/>
      <c r="P57" s="560"/>
      <c r="Q57" s="671"/>
      <c r="R57" s="672"/>
      <c r="S57" s="673"/>
    </row>
    <row r="58" spans="1:19" x14ac:dyDescent="0.2">
      <c r="A58" s="668"/>
      <c r="B58" s="669"/>
      <c r="C58" s="670"/>
      <c r="D58" s="338"/>
      <c r="E58" s="330"/>
      <c r="F58" s="331"/>
      <c r="G58" s="332"/>
      <c r="H58" s="333"/>
      <c r="I58" s="347"/>
      <c r="J58" s="333"/>
      <c r="K58" s="334"/>
      <c r="L58" s="333"/>
      <c r="M58" s="343"/>
      <c r="N58" s="344"/>
      <c r="O58" s="337"/>
      <c r="P58" s="560"/>
      <c r="Q58" s="671"/>
      <c r="R58" s="672"/>
      <c r="S58" s="673"/>
    </row>
    <row r="59" spans="1:19" x14ac:dyDescent="0.2">
      <c r="A59" s="668"/>
      <c r="B59" s="669"/>
      <c r="C59" s="670"/>
      <c r="D59" s="338"/>
      <c r="E59" s="330"/>
      <c r="F59" s="331"/>
      <c r="G59" s="332"/>
      <c r="H59" s="333"/>
      <c r="I59" s="330"/>
      <c r="J59" s="333"/>
      <c r="K59" s="349"/>
      <c r="L59" s="24"/>
      <c r="M59" s="343"/>
      <c r="N59" s="344"/>
      <c r="O59" s="337"/>
      <c r="P59" s="560"/>
      <c r="Q59" s="671"/>
      <c r="R59" s="672"/>
      <c r="S59" s="673"/>
    </row>
    <row r="60" spans="1:19" x14ac:dyDescent="0.2">
      <c r="A60" s="689"/>
      <c r="B60" s="689"/>
      <c r="C60" s="690"/>
      <c r="D60" s="350"/>
      <c r="E60" s="334"/>
      <c r="F60" s="331"/>
      <c r="G60" s="331"/>
      <c r="H60" s="340"/>
      <c r="I60" s="334"/>
      <c r="J60" s="340"/>
      <c r="K60" s="60"/>
      <c r="L60" s="340"/>
      <c r="M60" s="351"/>
      <c r="N60" s="65"/>
      <c r="O60" s="352"/>
      <c r="P60" s="557"/>
      <c r="Q60" s="671"/>
      <c r="R60" s="672"/>
      <c r="S60" s="673"/>
    </row>
    <row r="61" spans="1:19" x14ac:dyDescent="0.2">
      <c r="A61" s="680"/>
      <c r="B61" s="681"/>
      <c r="C61" s="682"/>
      <c r="D61" s="63"/>
      <c r="E61" s="323"/>
      <c r="F61" s="324"/>
      <c r="G61" s="325"/>
      <c r="H61" s="326"/>
      <c r="I61" s="323"/>
      <c r="J61" s="326"/>
      <c r="K61" s="353"/>
      <c r="L61" s="326"/>
      <c r="M61" s="323"/>
      <c r="N61" s="326"/>
      <c r="O61" s="329"/>
      <c r="P61" s="558"/>
      <c r="Q61" s="671"/>
      <c r="R61" s="672"/>
      <c r="S61" s="673"/>
    </row>
    <row r="62" spans="1:19" x14ac:dyDescent="0.2">
      <c r="A62" s="668"/>
      <c r="B62" s="669"/>
      <c r="C62" s="670"/>
      <c r="D62" s="338"/>
      <c r="E62" s="330"/>
      <c r="F62" s="331"/>
      <c r="G62" s="332"/>
      <c r="H62" s="333"/>
      <c r="I62" s="330"/>
      <c r="J62" s="333"/>
      <c r="K62" s="334"/>
      <c r="L62" s="333"/>
      <c r="M62" s="330"/>
      <c r="N62" s="333"/>
      <c r="O62" s="337"/>
      <c r="P62" s="560"/>
      <c r="Q62" s="671"/>
      <c r="R62" s="672"/>
      <c r="S62" s="673"/>
    </row>
    <row r="63" spans="1:19" x14ac:dyDescent="0.2">
      <c r="A63" s="668"/>
      <c r="B63" s="669"/>
      <c r="C63" s="670"/>
      <c r="D63" s="338"/>
      <c r="E63" s="330"/>
      <c r="F63" s="331"/>
      <c r="G63" s="332"/>
      <c r="H63" s="333"/>
      <c r="I63" s="330"/>
      <c r="J63" s="333"/>
      <c r="K63" s="334"/>
      <c r="L63" s="333"/>
      <c r="M63" s="330"/>
      <c r="N63" s="333"/>
      <c r="O63" s="337"/>
      <c r="P63" s="560"/>
      <c r="Q63" s="671"/>
      <c r="R63" s="672"/>
      <c r="S63" s="673"/>
    </row>
    <row r="64" spans="1:19" x14ac:dyDescent="0.2">
      <c r="A64" s="668"/>
      <c r="B64" s="669"/>
      <c r="C64" s="670"/>
      <c r="D64" s="338"/>
      <c r="E64" s="330"/>
      <c r="F64" s="331"/>
      <c r="G64" s="332"/>
      <c r="H64" s="333"/>
      <c r="I64" s="330"/>
      <c r="J64" s="333"/>
      <c r="K64" s="334"/>
      <c r="L64" s="24"/>
      <c r="M64" s="330"/>
      <c r="N64" s="333"/>
      <c r="O64" s="337"/>
      <c r="P64" s="560"/>
      <c r="Q64" s="671"/>
      <c r="R64" s="672"/>
      <c r="S64" s="673"/>
    </row>
    <row r="65" spans="1:19" x14ac:dyDescent="0.2">
      <c r="A65" s="668"/>
      <c r="B65" s="669"/>
      <c r="C65" s="670"/>
      <c r="D65" s="338"/>
      <c r="E65" s="330"/>
      <c r="F65" s="331"/>
      <c r="G65" s="332"/>
      <c r="H65" s="333"/>
      <c r="I65" s="330"/>
      <c r="J65" s="333"/>
      <c r="K65" s="60"/>
      <c r="L65" s="333"/>
      <c r="M65" s="341"/>
      <c r="N65" s="33"/>
      <c r="O65" s="283"/>
      <c r="P65" s="559"/>
      <c r="Q65" s="671"/>
      <c r="R65" s="672"/>
      <c r="S65" s="673"/>
    </row>
    <row r="66" spans="1:19" x14ac:dyDescent="0.2">
      <c r="A66" s="668"/>
      <c r="B66" s="669"/>
      <c r="C66" s="670"/>
      <c r="D66" s="338"/>
      <c r="E66" s="330"/>
      <c r="F66" s="331"/>
      <c r="G66" s="332"/>
      <c r="H66" s="333"/>
      <c r="I66" s="330"/>
      <c r="J66" s="333"/>
      <c r="K66" s="334"/>
      <c r="L66" s="333"/>
      <c r="M66" s="343"/>
      <c r="N66" s="344"/>
      <c r="O66" s="337"/>
      <c r="P66" s="560"/>
      <c r="Q66" s="671"/>
      <c r="R66" s="672"/>
      <c r="S66" s="673"/>
    </row>
    <row r="67" spans="1:19" x14ac:dyDescent="0.2">
      <c r="A67" s="612"/>
      <c r="B67" s="613"/>
      <c r="C67" s="614"/>
      <c r="D67" s="338"/>
      <c r="E67" s="330"/>
      <c r="F67" s="331"/>
      <c r="G67" s="332"/>
      <c r="H67" s="333"/>
      <c r="I67" s="330"/>
      <c r="J67" s="333"/>
      <c r="K67" s="334"/>
      <c r="L67" s="333"/>
      <c r="M67" s="343"/>
      <c r="N67" s="344"/>
      <c r="O67" s="337"/>
      <c r="P67" s="560"/>
      <c r="Q67" s="671"/>
      <c r="R67" s="672"/>
      <c r="S67" s="673"/>
    </row>
    <row r="68" spans="1:19" x14ac:dyDescent="0.2">
      <c r="A68" s="609"/>
      <c r="B68" s="610"/>
      <c r="C68" s="611"/>
      <c r="D68" s="338"/>
      <c r="E68" s="330"/>
      <c r="F68" s="331"/>
      <c r="G68" s="332"/>
      <c r="H68" s="333"/>
      <c r="I68" s="330"/>
      <c r="J68" s="333"/>
      <c r="K68" s="334"/>
      <c r="L68" s="333"/>
      <c r="M68" s="343"/>
      <c r="N68" s="344"/>
      <c r="O68" s="337"/>
      <c r="P68" s="560"/>
      <c r="Q68" s="671"/>
      <c r="R68" s="672"/>
      <c r="S68" s="673"/>
    </row>
    <row r="69" spans="1:19" x14ac:dyDescent="0.2">
      <c r="A69" s="668"/>
      <c r="B69" s="669"/>
      <c r="C69" s="670"/>
      <c r="D69" s="22"/>
      <c r="E69" s="330"/>
      <c r="F69" s="331"/>
      <c r="G69" s="332"/>
      <c r="H69" s="333"/>
      <c r="I69" s="330"/>
      <c r="J69" s="24"/>
      <c r="K69" s="346"/>
      <c r="L69" s="24"/>
      <c r="M69" s="343"/>
      <c r="N69" s="344"/>
      <c r="O69" s="337"/>
      <c r="P69" s="560"/>
      <c r="Q69" s="671"/>
      <c r="R69" s="672"/>
      <c r="S69" s="673"/>
    </row>
    <row r="70" spans="1:19" x14ac:dyDescent="0.2">
      <c r="A70" s="668"/>
      <c r="B70" s="669"/>
      <c r="C70" s="670"/>
      <c r="D70" s="22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560"/>
      <c r="Q70" s="671"/>
      <c r="R70" s="672"/>
      <c r="S70" s="673"/>
    </row>
    <row r="71" spans="1:19" x14ac:dyDescent="0.2">
      <c r="A71" s="668"/>
      <c r="B71" s="669"/>
      <c r="C71" s="670"/>
      <c r="D71" s="338"/>
      <c r="E71" s="330"/>
      <c r="F71" s="331"/>
      <c r="G71" s="332"/>
      <c r="H71" s="333"/>
      <c r="I71" s="347"/>
      <c r="J71" s="333"/>
      <c r="K71" s="334"/>
      <c r="L71" s="333"/>
      <c r="M71" s="343"/>
      <c r="N71" s="344"/>
      <c r="O71" s="337"/>
      <c r="P71" s="560"/>
      <c r="Q71" s="671"/>
      <c r="R71" s="672"/>
      <c r="S71" s="673"/>
    </row>
    <row r="72" spans="1:19" x14ac:dyDescent="0.2">
      <c r="A72" s="609"/>
      <c r="B72" s="610"/>
      <c r="C72" s="611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560"/>
      <c r="Q72" s="671"/>
      <c r="R72" s="672"/>
      <c r="S72" s="673"/>
    </row>
    <row r="73" spans="1:19" x14ac:dyDescent="0.2">
      <c r="A73" s="668"/>
      <c r="B73" s="669"/>
      <c r="C73" s="670"/>
      <c r="D73" s="338"/>
      <c r="E73" s="330"/>
      <c r="F73" s="331"/>
      <c r="G73" s="332"/>
      <c r="H73" s="333"/>
      <c r="I73" s="330"/>
      <c r="J73" s="333"/>
      <c r="K73" s="334"/>
      <c r="L73" s="333"/>
      <c r="M73" s="343"/>
      <c r="N73" s="344"/>
      <c r="O73" s="337"/>
      <c r="P73" s="560"/>
      <c r="Q73" s="671"/>
      <c r="R73" s="672"/>
      <c r="S73" s="673"/>
    </row>
    <row r="74" spans="1:19" x14ac:dyDescent="0.2">
      <c r="A74" s="668"/>
      <c r="B74" s="669"/>
      <c r="C74" s="670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560"/>
      <c r="Q74" s="671"/>
      <c r="R74" s="672"/>
      <c r="S74" s="673"/>
    </row>
    <row r="75" spans="1:19" x14ac:dyDescent="0.2">
      <c r="A75" s="668"/>
      <c r="B75" s="669"/>
      <c r="C75" s="670"/>
      <c r="D75" s="338"/>
      <c r="E75" s="330"/>
      <c r="F75" s="331"/>
      <c r="G75" s="332"/>
      <c r="H75" s="333"/>
      <c r="I75" s="330"/>
      <c r="J75" s="333"/>
      <c r="K75" s="334"/>
      <c r="L75" s="333"/>
      <c r="M75" s="343"/>
      <c r="N75" s="344"/>
      <c r="O75" s="337"/>
      <c r="P75" s="560"/>
      <c r="Q75" s="671"/>
      <c r="R75" s="672"/>
      <c r="S75" s="673"/>
    </row>
    <row r="76" spans="1:19" x14ac:dyDescent="0.2">
      <c r="A76" s="668"/>
      <c r="B76" s="669"/>
      <c r="C76" s="670"/>
      <c r="D76" s="338"/>
      <c r="E76" s="330"/>
      <c r="F76" s="331"/>
      <c r="G76" s="332"/>
      <c r="H76" s="333"/>
      <c r="I76" s="347"/>
      <c r="J76" s="333"/>
      <c r="K76" s="334"/>
      <c r="L76" s="333"/>
      <c r="M76" s="343"/>
      <c r="N76" s="344"/>
      <c r="O76" s="337"/>
      <c r="P76" s="560"/>
      <c r="Q76" s="671"/>
      <c r="R76" s="672"/>
      <c r="S76" s="673"/>
    </row>
    <row r="77" spans="1:19" x14ac:dyDescent="0.2">
      <c r="A77" s="686"/>
      <c r="B77" s="687"/>
      <c r="C77" s="688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560"/>
      <c r="Q77" s="671"/>
      <c r="R77" s="672"/>
      <c r="S77" s="673"/>
    </row>
    <row r="78" spans="1:19" x14ac:dyDescent="0.2">
      <c r="A78" s="683"/>
      <c r="B78" s="684"/>
      <c r="C78" s="685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560"/>
      <c r="Q78" s="671"/>
      <c r="R78" s="672"/>
      <c r="S78" s="673"/>
    </row>
    <row r="79" spans="1:19" x14ac:dyDescent="0.2">
      <c r="A79" s="683"/>
      <c r="B79" s="684"/>
      <c r="C79" s="685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560"/>
      <c r="Q79" s="671"/>
      <c r="R79" s="672"/>
      <c r="S79" s="673"/>
    </row>
    <row r="80" spans="1:19" x14ac:dyDescent="0.2">
      <c r="A80" s="683"/>
      <c r="B80" s="684"/>
      <c r="C80" s="685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560"/>
      <c r="Q80" s="671"/>
      <c r="R80" s="672"/>
      <c r="S80" s="673"/>
    </row>
    <row r="81" spans="1:19" x14ac:dyDescent="0.2">
      <c r="A81" s="683"/>
      <c r="B81" s="684"/>
      <c r="C81" s="685"/>
      <c r="D81" s="338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560"/>
      <c r="Q81" s="671"/>
      <c r="R81" s="672"/>
      <c r="S81" s="673"/>
    </row>
    <row r="82" spans="1:19" x14ac:dyDescent="0.2">
      <c r="A82" s="680"/>
      <c r="B82" s="681"/>
      <c r="C82" s="682"/>
      <c r="D82" s="338"/>
      <c r="E82" s="330"/>
      <c r="F82" s="331"/>
      <c r="G82" s="332"/>
      <c r="H82" s="333"/>
      <c r="I82" s="330"/>
      <c r="J82" s="333"/>
      <c r="K82" s="334"/>
      <c r="L82" s="333"/>
      <c r="M82" s="343"/>
      <c r="N82" s="344"/>
      <c r="O82" s="337"/>
      <c r="P82" s="560"/>
      <c r="Q82" s="671"/>
      <c r="R82" s="672"/>
      <c r="S82" s="673"/>
    </row>
    <row r="83" spans="1:19" x14ac:dyDescent="0.2">
      <c r="A83" s="609"/>
      <c r="B83" s="610"/>
      <c r="C83" s="611"/>
      <c r="D83" s="338"/>
      <c r="E83" s="330"/>
      <c r="F83" s="331"/>
      <c r="G83" s="332"/>
      <c r="H83" s="333"/>
      <c r="I83" s="330"/>
      <c r="J83" s="333"/>
      <c r="K83" s="334"/>
      <c r="L83" s="333"/>
      <c r="M83" s="343"/>
      <c r="N83" s="344"/>
      <c r="O83" s="337"/>
      <c r="P83" s="560"/>
      <c r="Q83" s="671"/>
      <c r="R83" s="672"/>
      <c r="S83" s="673"/>
    </row>
    <row r="84" spans="1:19" x14ac:dyDescent="0.2">
      <c r="A84" s="668"/>
      <c r="B84" s="669"/>
      <c r="C84" s="670"/>
      <c r="D84" s="22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560"/>
      <c r="Q84" s="671"/>
      <c r="R84" s="672"/>
      <c r="S84" s="673"/>
    </row>
    <row r="85" spans="1:19" x14ac:dyDescent="0.2">
      <c r="A85" s="668"/>
      <c r="B85" s="669"/>
      <c r="C85" s="670"/>
      <c r="D85" s="338"/>
      <c r="E85" s="330"/>
      <c r="F85" s="331"/>
      <c r="G85" s="332"/>
      <c r="H85" s="333"/>
      <c r="I85" s="330"/>
      <c r="J85" s="333"/>
      <c r="K85" s="334"/>
      <c r="L85" s="24"/>
      <c r="M85" s="343"/>
      <c r="N85" s="344"/>
      <c r="O85" s="337"/>
      <c r="P85" s="560"/>
      <c r="Q85" s="671"/>
      <c r="R85" s="672"/>
      <c r="S85" s="673"/>
    </row>
    <row r="86" spans="1:19" x14ac:dyDescent="0.2">
      <c r="A86" s="668"/>
      <c r="B86" s="669"/>
      <c r="C86" s="670"/>
      <c r="D86" s="338"/>
      <c r="E86" s="330"/>
      <c r="F86" s="331"/>
      <c r="G86" s="332"/>
      <c r="H86" s="333"/>
      <c r="I86" s="330"/>
      <c r="J86" s="333"/>
      <c r="K86" s="60"/>
      <c r="L86" s="333"/>
      <c r="M86" s="341"/>
      <c r="N86" s="33"/>
      <c r="O86" s="337"/>
      <c r="P86" s="560"/>
      <c r="Q86" s="671"/>
      <c r="R86" s="672"/>
      <c r="S86" s="673"/>
    </row>
    <row r="87" spans="1:19" x14ac:dyDescent="0.2">
      <c r="A87" s="668"/>
      <c r="B87" s="669"/>
      <c r="C87" s="670"/>
      <c r="D87" s="338"/>
      <c r="E87" s="330"/>
      <c r="F87" s="331"/>
      <c r="G87" s="332"/>
      <c r="H87" s="333"/>
      <c r="I87" s="330"/>
      <c r="J87" s="333"/>
      <c r="K87" s="334"/>
      <c r="L87" s="333"/>
      <c r="M87" s="343"/>
      <c r="N87" s="344"/>
      <c r="O87" s="337"/>
      <c r="P87" s="560"/>
      <c r="Q87" s="671"/>
      <c r="R87" s="672"/>
      <c r="S87" s="673"/>
    </row>
    <row r="88" spans="1:19" x14ac:dyDescent="0.2">
      <c r="A88" s="612"/>
      <c r="B88" s="613"/>
      <c r="C88" s="614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560"/>
      <c r="Q88" s="671"/>
      <c r="R88" s="672"/>
      <c r="S88" s="673"/>
    </row>
    <row r="89" spans="1:19" x14ac:dyDescent="0.2">
      <c r="A89" s="609"/>
      <c r="B89" s="610"/>
      <c r="C89" s="61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560"/>
      <c r="Q89" s="671"/>
      <c r="R89" s="672"/>
      <c r="S89" s="673"/>
    </row>
    <row r="90" spans="1:19" x14ac:dyDescent="0.2">
      <c r="A90" s="668"/>
      <c r="B90" s="669"/>
      <c r="C90" s="670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560"/>
      <c r="Q90" s="671"/>
      <c r="R90" s="672"/>
      <c r="S90" s="673"/>
    </row>
    <row r="91" spans="1:19" x14ac:dyDescent="0.2">
      <c r="A91" s="668"/>
      <c r="B91" s="669"/>
      <c r="C91" s="670"/>
      <c r="D91" s="338"/>
      <c r="E91" s="330"/>
      <c r="F91" s="331"/>
      <c r="G91" s="332"/>
      <c r="H91" s="333"/>
      <c r="I91" s="330"/>
      <c r="J91" s="333"/>
      <c r="K91" s="334"/>
      <c r="L91" s="333"/>
      <c r="M91" s="343"/>
      <c r="N91" s="344"/>
      <c r="O91" s="337"/>
      <c r="P91" s="560"/>
      <c r="Q91" s="671"/>
      <c r="R91" s="672"/>
      <c r="S91" s="673"/>
    </row>
    <row r="92" spans="1:19" x14ac:dyDescent="0.2">
      <c r="A92" s="609"/>
      <c r="B92" s="610"/>
      <c r="C92" s="611"/>
      <c r="D92" s="338"/>
      <c r="E92" s="330"/>
      <c r="F92" s="331"/>
      <c r="G92" s="332"/>
      <c r="H92" s="333"/>
      <c r="I92" s="330"/>
      <c r="J92" s="333"/>
      <c r="K92" s="334"/>
      <c r="L92" s="333"/>
      <c r="M92" s="343"/>
      <c r="N92" s="344"/>
      <c r="O92" s="337"/>
      <c r="P92" s="560"/>
      <c r="Q92" s="671"/>
      <c r="R92" s="672"/>
      <c r="S92" s="673"/>
    </row>
    <row r="93" spans="1:19" x14ac:dyDescent="0.2">
      <c r="A93" s="668"/>
      <c r="B93" s="669"/>
      <c r="C93" s="670"/>
      <c r="D93" s="338"/>
      <c r="E93" s="330"/>
      <c r="F93" s="331"/>
      <c r="G93" s="332"/>
      <c r="H93" s="333"/>
      <c r="I93" s="347"/>
      <c r="J93" s="333"/>
      <c r="K93" s="334"/>
      <c r="L93" s="333"/>
      <c r="M93" s="343"/>
      <c r="N93" s="344"/>
      <c r="O93" s="337"/>
      <c r="P93" s="560"/>
      <c r="Q93" s="671"/>
      <c r="R93" s="672"/>
      <c r="S93" s="673"/>
    </row>
    <row r="94" spans="1:19" x14ac:dyDescent="0.2">
      <c r="A94" s="668"/>
      <c r="B94" s="669"/>
      <c r="C94" s="670"/>
      <c r="D94" s="338"/>
      <c r="E94" s="330"/>
      <c r="F94" s="331"/>
      <c r="G94" s="332"/>
      <c r="H94" s="333"/>
      <c r="I94" s="347"/>
      <c r="J94" s="333"/>
      <c r="K94" s="334"/>
      <c r="L94" s="333"/>
      <c r="M94" s="343"/>
      <c r="N94" s="344"/>
      <c r="O94" s="337"/>
      <c r="P94" s="560"/>
      <c r="Q94" s="671"/>
      <c r="R94" s="672"/>
      <c r="S94" s="673"/>
    </row>
    <row r="95" spans="1:19" x14ac:dyDescent="0.2">
      <c r="A95" s="668"/>
      <c r="B95" s="669"/>
      <c r="C95" s="670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560"/>
      <c r="Q95" s="671"/>
      <c r="R95" s="672"/>
      <c r="S95" s="673"/>
    </row>
    <row r="96" spans="1:19" x14ac:dyDescent="0.2">
      <c r="A96" s="609"/>
      <c r="B96" s="610"/>
      <c r="C96" s="611"/>
      <c r="D96" s="338"/>
      <c r="E96" s="330"/>
      <c r="F96" s="331"/>
      <c r="G96" s="332"/>
      <c r="H96" s="333"/>
      <c r="I96" s="330"/>
      <c r="J96" s="333"/>
      <c r="K96" s="334"/>
      <c r="L96" s="333"/>
      <c r="M96" s="343"/>
      <c r="N96" s="344"/>
      <c r="O96" s="337"/>
      <c r="P96" s="560"/>
      <c r="Q96" s="671"/>
      <c r="R96" s="672"/>
      <c r="S96" s="673"/>
    </row>
    <row r="97" spans="1:19" x14ac:dyDescent="0.2">
      <c r="A97" s="668"/>
      <c r="B97" s="669"/>
      <c r="C97" s="670"/>
      <c r="D97" s="338"/>
      <c r="E97" s="330"/>
      <c r="F97" s="331"/>
      <c r="G97" s="332"/>
      <c r="H97" s="333"/>
      <c r="I97" s="347"/>
      <c r="J97" s="24"/>
      <c r="K97" s="334"/>
      <c r="L97" s="333"/>
      <c r="M97" s="343"/>
      <c r="N97" s="344"/>
      <c r="O97" s="337"/>
      <c r="P97" s="560"/>
      <c r="Q97" s="671"/>
      <c r="R97" s="672"/>
      <c r="S97" s="673"/>
    </row>
    <row r="98" spans="1:19" x14ac:dyDescent="0.2">
      <c r="A98" s="668"/>
      <c r="B98" s="669"/>
      <c r="C98" s="670"/>
      <c r="D98" s="338"/>
      <c r="E98" s="330"/>
      <c r="F98" s="331"/>
      <c r="G98" s="332"/>
      <c r="H98" s="333"/>
      <c r="I98" s="347"/>
      <c r="J98" s="333"/>
      <c r="K98" s="334"/>
      <c r="L98" s="333"/>
      <c r="M98" s="343"/>
      <c r="N98" s="344"/>
      <c r="O98" s="337"/>
      <c r="P98" s="560"/>
      <c r="Q98" s="671"/>
      <c r="R98" s="672"/>
      <c r="S98" s="673"/>
    </row>
    <row r="99" spans="1:19" x14ac:dyDescent="0.2">
      <c r="A99" s="668"/>
      <c r="B99" s="669"/>
      <c r="C99" s="670"/>
      <c r="D99" s="338"/>
      <c r="E99" s="330"/>
      <c r="F99" s="331"/>
      <c r="G99" s="332"/>
      <c r="H99" s="333"/>
      <c r="I99" s="347"/>
      <c r="J99" s="333"/>
      <c r="K99" s="334"/>
      <c r="L99" s="333"/>
      <c r="M99" s="343"/>
      <c r="N99" s="344"/>
      <c r="O99" s="337"/>
      <c r="P99" s="560"/>
      <c r="Q99" s="671"/>
      <c r="R99" s="672"/>
      <c r="S99" s="673"/>
    </row>
    <row r="100" spans="1:19" x14ac:dyDescent="0.2">
      <c r="A100" s="668"/>
      <c r="B100" s="669"/>
      <c r="C100" s="670"/>
      <c r="D100" s="338"/>
      <c r="E100" s="330"/>
      <c r="F100" s="331"/>
      <c r="G100" s="332"/>
      <c r="H100" s="333"/>
      <c r="I100" s="347"/>
      <c r="J100" s="333"/>
      <c r="K100" s="334"/>
      <c r="L100" s="333"/>
      <c r="M100" s="343"/>
      <c r="N100" s="344"/>
      <c r="O100" s="337"/>
      <c r="P100" s="560"/>
      <c r="Q100" s="671"/>
      <c r="R100" s="672"/>
      <c r="S100" s="673"/>
    </row>
    <row r="101" spans="1:19" x14ac:dyDescent="0.2">
      <c r="A101" s="668"/>
      <c r="B101" s="669"/>
      <c r="C101" s="670"/>
      <c r="D101" s="338"/>
      <c r="E101" s="330"/>
      <c r="F101" s="331"/>
      <c r="G101" s="281"/>
      <c r="H101" s="333"/>
      <c r="I101" s="347"/>
      <c r="J101" s="333"/>
      <c r="K101" s="334"/>
      <c r="L101" s="333"/>
      <c r="M101" s="343"/>
      <c r="N101" s="344"/>
      <c r="O101" s="337"/>
      <c r="P101" s="560"/>
      <c r="Q101" s="671"/>
      <c r="R101" s="672"/>
      <c r="S101" s="673"/>
    </row>
    <row r="102" spans="1:19" x14ac:dyDescent="0.2">
      <c r="A102" s="609"/>
      <c r="B102" s="610"/>
      <c r="C102" s="611"/>
      <c r="D102" s="338"/>
      <c r="E102" s="330"/>
      <c r="F102" s="331"/>
      <c r="G102" s="332"/>
      <c r="H102" s="333"/>
      <c r="I102" s="330"/>
      <c r="J102" s="333"/>
      <c r="K102" s="334"/>
      <c r="L102" s="333"/>
      <c r="M102" s="343"/>
      <c r="N102" s="344"/>
      <c r="O102" s="337"/>
      <c r="P102" s="560"/>
      <c r="Q102" s="671"/>
      <c r="R102" s="672"/>
      <c r="S102" s="673"/>
    </row>
    <row r="103" spans="1:19" x14ac:dyDescent="0.2">
      <c r="A103" s="668"/>
      <c r="B103" s="669"/>
      <c r="C103" s="670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560"/>
      <c r="Q103" s="671"/>
      <c r="R103" s="672"/>
      <c r="S103" s="673"/>
    </row>
    <row r="104" spans="1:19" x14ac:dyDescent="0.2">
      <c r="A104" s="668"/>
      <c r="B104" s="669"/>
      <c r="C104" s="670"/>
      <c r="D104" s="338"/>
      <c r="E104" s="330"/>
      <c r="F104" s="331"/>
      <c r="G104" s="332"/>
      <c r="H104" s="333"/>
      <c r="I104" s="330"/>
      <c r="J104" s="333"/>
      <c r="K104" s="349"/>
      <c r="L104" s="24"/>
      <c r="M104" s="343"/>
      <c r="N104" s="344"/>
      <c r="O104" s="337"/>
      <c r="P104" s="560"/>
      <c r="Q104" s="671"/>
      <c r="R104" s="672"/>
      <c r="S104" s="673"/>
    </row>
    <row r="105" spans="1:19" x14ac:dyDescent="0.2">
      <c r="A105" s="668"/>
      <c r="B105" s="669"/>
      <c r="C105" s="670"/>
      <c r="D105" s="338"/>
      <c r="E105" s="330"/>
      <c r="F105" s="331"/>
      <c r="G105" s="332"/>
      <c r="H105" s="333"/>
      <c r="I105" s="330"/>
      <c r="J105" s="333"/>
      <c r="K105" s="60"/>
      <c r="L105" s="333"/>
      <c r="M105" s="341"/>
      <c r="N105" s="33"/>
      <c r="O105" s="337"/>
      <c r="P105" s="560"/>
      <c r="Q105" s="671"/>
      <c r="R105" s="672"/>
      <c r="S105" s="673"/>
    </row>
    <row r="106" spans="1:19" x14ac:dyDescent="0.2">
      <c r="A106" s="668"/>
      <c r="B106" s="669"/>
      <c r="C106" s="670"/>
      <c r="D106" s="338"/>
      <c r="E106" s="330"/>
      <c r="F106" s="331"/>
      <c r="G106" s="332"/>
      <c r="H106" s="333"/>
      <c r="I106" s="330"/>
      <c r="J106" s="333"/>
      <c r="K106" s="334"/>
      <c r="L106" s="333"/>
      <c r="M106" s="343"/>
      <c r="N106" s="344"/>
      <c r="O106" s="337"/>
      <c r="P106" s="560"/>
      <c r="Q106" s="671"/>
      <c r="R106" s="672"/>
      <c r="S106" s="673"/>
    </row>
    <row r="107" spans="1:19" x14ac:dyDescent="0.2">
      <c r="A107" s="612"/>
      <c r="B107" s="613"/>
      <c r="C107" s="614"/>
      <c r="D107" s="338"/>
      <c r="E107" s="330"/>
      <c r="F107" s="331"/>
      <c r="G107" s="332"/>
      <c r="H107" s="333"/>
      <c r="I107" s="330"/>
      <c r="J107" s="333"/>
      <c r="K107" s="334"/>
      <c r="L107" s="333"/>
      <c r="M107" s="343"/>
      <c r="N107" s="344"/>
      <c r="O107" s="337"/>
      <c r="P107" s="560"/>
      <c r="Q107" s="671"/>
      <c r="R107" s="672"/>
      <c r="S107" s="673"/>
    </row>
    <row r="108" spans="1:19" x14ac:dyDescent="0.2">
      <c r="A108" s="668"/>
      <c r="B108" s="669"/>
      <c r="C108" s="670"/>
      <c r="D108" s="22"/>
      <c r="E108" s="330"/>
      <c r="F108" s="331"/>
      <c r="G108" s="332"/>
      <c r="H108" s="333"/>
      <c r="I108" s="330"/>
      <c r="J108" s="24"/>
      <c r="K108" s="334"/>
      <c r="L108" s="333"/>
      <c r="M108" s="343"/>
      <c r="N108" s="344"/>
      <c r="O108" s="337"/>
      <c r="P108" s="560"/>
      <c r="Q108" s="671"/>
      <c r="R108" s="672"/>
      <c r="S108" s="673"/>
    </row>
    <row r="109" spans="1:19" x14ac:dyDescent="0.2">
      <c r="A109" s="668"/>
      <c r="B109" s="669"/>
      <c r="C109" s="670"/>
      <c r="D109" s="338"/>
      <c r="E109" s="330"/>
      <c r="F109" s="331"/>
      <c r="G109" s="332"/>
      <c r="H109" s="333"/>
      <c r="I109" s="347"/>
      <c r="J109" s="333"/>
      <c r="K109" s="334"/>
      <c r="L109" s="333"/>
      <c r="M109" s="343"/>
      <c r="N109" s="344"/>
      <c r="O109" s="337"/>
      <c r="P109" s="560"/>
      <c r="Q109" s="671"/>
      <c r="R109" s="672"/>
      <c r="S109" s="673"/>
    </row>
    <row r="110" spans="1:19" x14ac:dyDescent="0.2">
      <c r="A110" s="668"/>
      <c r="B110" s="669"/>
      <c r="C110" s="670"/>
      <c r="D110" s="338"/>
      <c r="E110" s="330"/>
      <c r="F110" s="331"/>
      <c r="G110" s="332"/>
      <c r="H110" s="333"/>
      <c r="I110" s="330"/>
      <c r="J110" s="333"/>
      <c r="K110" s="349"/>
      <c r="L110" s="24"/>
      <c r="M110" s="343"/>
      <c r="N110" s="344"/>
      <c r="O110" s="337"/>
      <c r="P110" s="560"/>
      <c r="Q110" s="671"/>
      <c r="R110" s="672"/>
      <c r="S110" s="673"/>
    </row>
    <row r="111" spans="1:19" x14ac:dyDescent="0.2">
      <c r="A111" s="674"/>
      <c r="B111" s="675"/>
      <c r="C111" s="676"/>
      <c r="D111" s="354"/>
      <c r="E111" s="355"/>
      <c r="F111" s="356"/>
      <c r="G111" s="357"/>
      <c r="H111" s="358"/>
      <c r="I111" s="355"/>
      <c r="J111" s="358"/>
      <c r="K111" s="62"/>
      <c r="L111" s="358"/>
      <c r="M111" s="359"/>
      <c r="N111" s="37"/>
      <c r="O111" s="360"/>
      <c r="P111" s="360"/>
      <c r="Q111" s="677"/>
      <c r="R111" s="678"/>
      <c r="S111" s="679"/>
    </row>
  </sheetData>
  <mergeCells count="219">
    <mergeCell ref="Q6:S6"/>
    <mergeCell ref="A7:C7"/>
    <mergeCell ref="Q7:S7"/>
    <mergeCell ref="A8:C8"/>
    <mergeCell ref="Q10:S10"/>
    <mergeCell ref="A9:C9"/>
    <mergeCell ref="Q9:S9"/>
    <mergeCell ref="L1:M1"/>
    <mergeCell ref="L2:M2"/>
    <mergeCell ref="D3:F3"/>
    <mergeCell ref="L3:M3"/>
    <mergeCell ref="A4:C4"/>
    <mergeCell ref="D4:F4"/>
    <mergeCell ref="L4:M4"/>
    <mergeCell ref="Q8:S8"/>
    <mergeCell ref="P2:Q2"/>
    <mergeCell ref="A13:C13"/>
    <mergeCell ref="Q13:S13"/>
    <mergeCell ref="A14:C14"/>
    <mergeCell ref="Q14:S14"/>
    <mergeCell ref="A15:C15"/>
    <mergeCell ref="Q15:S15"/>
    <mergeCell ref="A10:C10"/>
    <mergeCell ref="A11:C11"/>
    <mergeCell ref="Q11:S11"/>
    <mergeCell ref="A12:C12"/>
    <mergeCell ref="Q12:S12"/>
    <mergeCell ref="A19:C19"/>
    <mergeCell ref="Q19:S19"/>
    <mergeCell ref="A20:C20"/>
    <mergeCell ref="Q20:S20"/>
    <mergeCell ref="A21:C21"/>
    <mergeCell ref="Q21:S21"/>
    <mergeCell ref="A16:C16"/>
    <mergeCell ref="Q16:S16"/>
    <mergeCell ref="A17:C17"/>
    <mergeCell ref="Q17:S17"/>
    <mergeCell ref="A18:C18"/>
    <mergeCell ref="Q18:S18"/>
    <mergeCell ref="A25:C25"/>
    <mergeCell ref="Q25:S25"/>
    <mergeCell ref="A26:C26"/>
    <mergeCell ref="Q26:S26"/>
    <mergeCell ref="A27:C27"/>
    <mergeCell ref="Q27:S27"/>
    <mergeCell ref="A22:C22"/>
    <mergeCell ref="Q22:S22"/>
    <mergeCell ref="A23:C23"/>
    <mergeCell ref="Q23:S23"/>
    <mergeCell ref="A24:C24"/>
    <mergeCell ref="Q24:S24"/>
    <mergeCell ref="A31:C31"/>
    <mergeCell ref="Q31:S31"/>
    <mergeCell ref="A32:C32"/>
    <mergeCell ref="Q32:S32"/>
    <mergeCell ref="A33:C33"/>
    <mergeCell ref="Q33:S33"/>
    <mergeCell ref="A28:C28"/>
    <mergeCell ref="Q28:S28"/>
    <mergeCell ref="A29:C29"/>
    <mergeCell ref="Q29:S29"/>
    <mergeCell ref="A30:C30"/>
    <mergeCell ref="Q30:S30"/>
    <mergeCell ref="A37:C37"/>
    <mergeCell ref="Q37:S37"/>
    <mergeCell ref="A38:C38"/>
    <mergeCell ref="Q38:S38"/>
    <mergeCell ref="A39:C39"/>
    <mergeCell ref="Q39:S39"/>
    <mergeCell ref="A34:C34"/>
    <mergeCell ref="Q34:S34"/>
    <mergeCell ref="A35:C35"/>
    <mergeCell ref="Q35:S35"/>
    <mergeCell ref="A36:C36"/>
    <mergeCell ref="Q36:S36"/>
    <mergeCell ref="A43:C43"/>
    <mergeCell ref="Q43:S43"/>
    <mergeCell ref="A44:C44"/>
    <mergeCell ref="Q44:S44"/>
    <mergeCell ref="A45:C45"/>
    <mergeCell ref="Q45:S45"/>
    <mergeCell ref="A40:C40"/>
    <mergeCell ref="Q40:S40"/>
    <mergeCell ref="A41:C41"/>
    <mergeCell ref="Q41:S41"/>
    <mergeCell ref="A42:C42"/>
    <mergeCell ref="Q42:S42"/>
    <mergeCell ref="A49:C49"/>
    <mergeCell ref="Q49:S49"/>
    <mergeCell ref="A50:C50"/>
    <mergeCell ref="Q50:S50"/>
    <mergeCell ref="A51:C51"/>
    <mergeCell ref="Q51:S51"/>
    <mergeCell ref="A46:C46"/>
    <mergeCell ref="Q46:S46"/>
    <mergeCell ref="A47:C47"/>
    <mergeCell ref="Q47:S47"/>
    <mergeCell ref="A48:C48"/>
    <mergeCell ref="Q48:S48"/>
    <mergeCell ref="A55:C55"/>
    <mergeCell ref="Q55:S55"/>
    <mergeCell ref="A56:C56"/>
    <mergeCell ref="Q56:S56"/>
    <mergeCell ref="A57:C57"/>
    <mergeCell ref="Q57:S57"/>
    <mergeCell ref="A52:C52"/>
    <mergeCell ref="Q52:S52"/>
    <mergeCell ref="A53:C53"/>
    <mergeCell ref="Q53:S53"/>
    <mergeCell ref="A54:C54"/>
    <mergeCell ref="Q54:S54"/>
    <mergeCell ref="A61:C61"/>
    <mergeCell ref="Q61:S61"/>
    <mergeCell ref="A62:C62"/>
    <mergeCell ref="Q62:S62"/>
    <mergeCell ref="A63:C63"/>
    <mergeCell ref="Q63:S63"/>
    <mergeCell ref="A58:C58"/>
    <mergeCell ref="Q58:S58"/>
    <mergeCell ref="A59:C59"/>
    <mergeCell ref="Q59:S59"/>
    <mergeCell ref="A60:C60"/>
    <mergeCell ref="Q60:S60"/>
    <mergeCell ref="A67:C67"/>
    <mergeCell ref="Q67:S67"/>
    <mergeCell ref="A68:C68"/>
    <mergeCell ref="Q68:S68"/>
    <mergeCell ref="A69:C69"/>
    <mergeCell ref="Q69:S69"/>
    <mergeCell ref="A64:C64"/>
    <mergeCell ref="Q64:S64"/>
    <mergeCell ref="A65:C65"/>
    <mergeCell ref="Q65:S65"/>
    <mergeCell ref="A66:C66"/>
    <mergeCell ref="Q66:S66"/>
    <mergeCell ref="A73:C73"/>
    <mergeCell ref="Q73:S73"/>
    <mergeCell ref="A74:C74"/>
    <mergeCell ref="Q74:S74"/>
    <mergeCell ref="A75:C75"/>
    <mergeCell ref="Q75:S75"/>
    <mergeCell ref="A70:C70"/>
    <mergeCell ref="Q70:S70"/>
    <mergeCell ref="A71:C71"/>
    <mergeCell ref="Q71:S71"/>
    <mergeCell ref="A72:C72"/>
    <mergeCell ref="Q72:S72"/>
    <mergeCell ref="A79:C79"/>
    <mergeCell ref="Q79:S79"/>
    <mergeCell ref="A80:C80"/>
    <mergeCell ref="Q80:S80"/>
    <mergeCell ref="A81:C81"/>
    <mergeCell ref="Q81:S81"/>
    <mergeCell ref="A76:C76"/>
    <mergeCell ref="Q76:S76"/>
    <mergeCell ref="A77:C77"/>
    <mergeCell ref="Q77:S77"/>
    <mergeCell ref="A78:C78"/>
    <mergeCell ref="Q78:S78"/>
    <mergeCell ref="A85:C85"/>
    <mergeCell ref="Q85:S85"/>
    <mergeCell ref="A86:C86"/>
    <mergeCell ref="Q86:S86"/>
    <mergeCell ref="A87:C87"/>
    <mergeCell ref="Q87:S87"/>
    <mergeCell ref="A82:C82"/>
    <mergeCell ref="Q82:S82"/>
    <mergeCell ref="A83:C83"/>
    <mergeCell ref="Q83:S83"/>
    <mergeCell ref="A84:C84"/>
    <mergeCell ref="Q84:S84"/>
    <mergeCell ref="A91:C91"/>
    <mergeCell ref="Q91:S91"/>
    <mergeCell ref="A92:C92"/>
    <mergeCell ref="Q92:S92"/>
    <mergeCell ref="A93:C93"/>
    <mergeCell ref="Q93:S93"/>
    <mergeCell ref="A88:C88"/>
    <mergeCell ref="Q88:S88"/>
    <mergeCell ref="A89:C89"/>
    <mergeCell ref="Q89:S89"/>
    <mergeCell ref="A90:C90"/>
    <mergeCell ref="Q90:S90"/>
    <mergeCell ref="A97:C97"/>
    <mergeCell ref="Q97:S97"/>
    <mergeCell ref="A98:C98"/>
    <mergeCell ref="Q98:S98"/>
    <mergeCell ref="A99:C99"/>
    <mergeCell ref="Q99:S99"/>
    <mergeCell ref="A94:C94"/>
    <mergeCell ref="Q94:S94"/>
    <mergeCell ref="A95:C95"/>
    <mergeCell ref="Q95:S95"/>
    <mergeCell ref="A96:C96"/>
    <mergeCell ref="Q96:S96"/>
    <mergeCell ref="A103:C103"/>
    <mergeCell ref="Q103:S103"/>
    <mergeCell ref="A104:C104"/>
    <mergeCell ref="Q104:S104"/>
    <mergeCell ref="A105:C105"/>
    <mergeCell ref="Q105:S105"/>
    <mergeCell ref="A100:C100"/>
    <mergeCell ref="Q100:S100"/>
    <mergeCell ref="A101:C101"/>
    <mergeCell ref="Q101:S101"/>
    <mergeCell ref="A102:C102"/>
    <mergeCell ref="Q102:S102"/>
    <mergeCell ref="A109:C109"/>
    <mergeCell ref="Q109:S109"/>
    <mergeCell ref="A110:C110"/>
    <mergeCell ref="Q110:S110"/>
    <mergeCell ref="A111:C111"/>
    <mergeCell ref="Q111:S111"/>
    <mergeCell ref="A106:C106"/>
    <mergeCell ref="Q106:S106"/>
    <mergeCell ref="A107:C107"/>
    <mergeCell ref="Q107:S107"/>
    <mergeCell ref="A108:C108"/>
    <mergeCell ref="Q108:S108"/>
  </mergeCells>
  <hyperlinks>
    <hyperlink ref="P8" location="'MEP Price'!A1" display="P14"/>
    <hyperlink ref="P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8"/>
  <sheetViews>
    <sheetView workbookViewId="0">
      <pane ySplit="7" topLeftCell="A17" activePane="bottomLeft" state="frozen"/>
      <selection pane="bottomLeft" activeCell="A6" sqref="A6"/>
    </sheetView>
  </sheetViews>
  <sheetFormatPr defaultRowHeight="12.75" x14ac:dyDescent="0.2"/>
  <cols>
    <col min="1" max="2" width="2.7109375" style="292" customWidth="1"/>
    <col min="3" max="3" width="15.85546875" style="292" customWidth="1"/>
    <col min="4" max="4" width="3.7109375" style="292" customWidth="1"/>
    <col min="5" max="5" width="6.7109375" style="292" customWidth="1"/>
    <col min="6" max="6" width="2.7109375" style="292" customWidth="1"/>
    <col min="7" max="8" width="6.7109375" style="292" customWidth="1"/>
    <col min="9" max="13" width="5.7109375" style="292" customWidth="1"/>
    <col min="14" max="14" width="3.1406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7.7109375" style="292" customWidth="1"/>
    <col min="21" max="21" width="5.7109375" style="292" customWidth="1"/>
    <col min="22" max="22" width="2.7109375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290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657" t="s">
        <v>720</v>
      </c>
      <c r="U1" s="657"/>
      <c r="V1" s="657"/>
    </row>
    <row r="2" spans="1:24" ht="15" x14ac:dyDescent="0.25">
      <c r="A2" s="290"/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654" t="s">
        <v>377</v>
      </c>
      <c r="U2" s="654"/>
      <c r="V2" s="654"/>
      <c r="W2" s="638" t="s">
        <v>781</v>
      </c>
      <c r="X2" s="638"/>
    </row>
    <row r="3" spans="1:24" x14ac:dyDescent="0.2">
      <c r="A3" s="291"/>
      <c r="B3" s="361"/>
      <c r="C3" s="291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657"/>
      <c r="O3" s="291"/>
      <c r="P3" s="291"/>
      <c r="Q3" s="291"/>
      <c r="R3" s="383"/>
      <c r="S3" s="383"/>
      <c r="T3" s="654" t="s">
        <v>655</v>
      </c>
      <c r="U3" s="654"/>
      <c r="V3" s="65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658</v>
      </c>
      <c r="I4" s="656"/>
      <c r="J4" s="656"/>
      <c r="K4" s="656"/>
      <c r="L4" s="656"/>
      <c r="M4" s="656"/>
      <c r="N4" s="656"/>
      <c r="O4" s="363"/>
      <c r="P4" s="363"/>
      <c r="Q4" s="363"/>
      <c r="R4" s="363"/>
      <c r="S4" s="363"/>
      <c r="T4" s="656" t="s">
        <v>657</v>
      </c>
      <c r="U4" s="656"/>
      <c r="V4" s="656"/>
    </row>
    <row r="5" spans="1:24" x14ac:dyDescent="0.2">
      <c r="A5" s="388"/>
      <c r="B5" s="291"/>
      <c r="C5" s="291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473"/>
      <c r="U5" s="369"/>
      <c r="V5" s="394"/>
    </row>
    <row r="6" spans="1:24" x14ac:dyDescent="0.2">
      <c r="A6" s="395" t="s">
        <v>555</v>
      </c>
      <c r="B6" s="375"/>
      <c r="C6" s="375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74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525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75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526"/>
      <c r="D8" s="422"/>
      <c r="E8" s="422"/>
      <c r="F8" s="422"/>
      <c r="G8" s="423"/>
      <c r="H8" s="424"/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4"/>
      <c r="U8" s="425"/>
      <c r="V8" s="430"/>
    </row>
    <row r="9" spans="1:24" ht="15" x14ac:dyDescent="0.25">
      <c r="A9" s="431"/>
      <c r="B9" s="281"/>
      <c r="C9" s="262" t="s">
        <v>302</v>
      </c>
      <c r="D9" s="575">
        <v>11</v>
      </c>
      <c r="E9" s="263">
        <f>MEP!M8</f>
        <v>7621</v>
      </c>
      <c r="F9" s="263"/>
      <c r="G9" s="434">
        <v>18.100000000000001</v>
      </c>
      <c r="H9" s="435">
        <f>G9*E9</f>
        <v>137940.1</v>
      </c>
      <c r="I9" s="436"/>
      <c r="J9" s="263"/>
      <c r="K9" s="263"/>
      <c r="L9" s="263"/>
      <c r="M9" s="263"/>
      <c r="N9" s="437"/>
      <c r="O9" s="434"/>
      <c r="P9" s="438"/>
      <c r="Q9" s="439"/>
      <c r="R9" s="434"/>
      <c r="S9" s="435"/>
      <c r="T9" s="478">
        <f>S9+P9+H9</f>
        <v>137940.1</v>
      </c>
      <c r="U9" s="436">
        <f>T9/E9</f>
        <v>18.100000000000001</v>
      </c>
      <c r="V9" s="441"/>
    </row>
    <row r="10" spans="1:24" x14ac:dyDescent="0.2">
      <c r="A10" s="431"/>
      <c r="B10" s="281"/>
      <c r="C10" s="262"/>
      <c r="D10" s="263"/>
      <c r="E10" s="263"/>
      <c r="F10" s="263"/>
      <c r="G10" s="434"/>
      <c r="H10" s="435"/>
      <c r="I10" s="436"/>
      <c r="J10" s="263"/>
      <c r="K10" s="263"/>
      <c r="L10" s="263"/>
      <c r="M10" s="442"/>
      <c r="N10" s="443"/>
      <c r="O10" s="434"/>
      <c r="P10" s="438"/>
      <c r="Q10" s="439"/>
      <c r="R10" s="434"/>
      <c r="S10" s="435"/>
      <c r="T10" s="478"/>
      <c r="U10" s="436"/>
      <c r="V10" s="441"/>
    </row>
    <row r="11" spans="1:24" ht="15" x14ac:dyDescent="0.25">
      <c r="A11" s="444"/>
      <c r="B11" s="281"/>
      <c r="C11" s="262" t="s">
        <v>304</v>
      </c>
      <c r="D11" s="575">
        <v>11</v>
      </c>
      <c r="E11" s="263">
        <f>MEP!M9</f>
        <v>7621</v>
      </c>
      <c r="F11" s="263"/>
      <c r="G11" s="434">
        <v>13.3</v>
      </c>
      <c r="H11" s="435">
        <f>G11*E11</f>
        <v>101359.3</v>
      </c>
      <c r="I11" s="436"/>
      <c r="J11" s="263"/>
      <c r="K11" s="263"/>
      <c r="L11" s="263"/>
      <c r="M11" s="263"/>
      <c r="N11" s="437"/>
      <c r="O11" s="434"/>
      <c r="P11" s="438"/>
      <c r="Q11" s="439"/>
      <c r="R11" s="434"/>
      <c r="S11" s="435"/>
      <c r="T11" s="478">
        <f>S11+P11+H11</f>
        <v>101359.3</v>
      </c>
      <c r="U11" s="436">
        <f>T11/E11</f>
        <v>13.3</v>
      </c>
      <c r="V11" s="441"/>
    </row>
    <row r="12" spans="1:24" x14ac:dyDescent="0.2">
      <c r="A12" s="431"/>
      <c r="B12" s="281"/>
      <c r="C12" s="262"/>
      <c r="D12" s="263"/>
      <c r="E12" s="263"/>
      <c r="F12" s="263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ht="15" x14ac:dyDescent="0.25">
      <c r="A13" s="431"/>
      <c r="B13" s="281"/>
      <c r="C13" s="262" t="s">
        <v>303</v>
      </c>
      <c r="D13" s="575">
        <v>11</v>
      </c>
      <c r="E13" s="263">
        <f>MEP!M9</f>
        <v>7621</v>
      </c>
      <c r="F13" s="263"/>
      <c r="G13" s="434">
        <v>19.3</v>
      </c>
      <c r="H13" s="435">
        <f>G13*E13</f>
        <v>147085.30000000002</v>
      </c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>
        <f>S13+P13+H13</f>
        <v>147085.30000000002</v>
      </c>
      <c r="U13" s="436">
        <f>T13/E13</f>
        <v>19.3</v>
      </c>
      <c r="V13" s="441"/>
    </row>
    <row r="14" spans="1:24" x14ac:dyDescent="0.2">
      <c r="A14" s="444"/>
      <c r="B14" s="281"/>
      <c r="C14" s="262"/>
      <c r="D14" s="263"/>
      <c r="E14" s="263"/>
      <c r="F14" s="263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x14ac:dyDescent="0.2">
      <c r="A15" s="431"/>
      <c r="B15" s="281"/>
      <c r="C15" s="262"/>
      <c r="D15" s="263"/>
      <c r="E15" s="263"/>
      <c r="F15" s="263"/>
      <c r="G15" s="434"/>
      <c r="H15" s="435"/>
      <c r="I15" s="436"/>
      <c r="J15" s="263"/>
      <c r="K15" s="263"/>
      <c r="L15" s="263"/>
      <c r="M15" s="263"/>
      <c r="N15" s="437"/>
      <c r="O15" s="434"/>
      <c r="P15" s="438"/>
      <c r="Q15" s="439"/>
      <c r="R15" s="434"/>
      <c r="S15" s="435"/>
      <c r="T15" s="478"/>
      <c r="U15" s="436"/>
      <c r="V15" s="441"/>
    </row>
    <row r="16" spans="1:24" x14ac:dyDescent="0.2">
      <c r="A16" s="431"/>
      <c r="B16" s="281"/>
      <c r="C16" s="262"/>
      <c r="D16" s="263"/>
      <c r="E16" s="263"/>
      <c r="F16" s="263"/>
      <c r="G16" s="434"/>
      <c r="H16" s="435"/>
      <c r="I16" s="436"/>
      <c r="J16" s="263"/>
      <c r="K16" s="263"/>
      <c r="L16" s="263"/>
      <c r="M16" s="263"/>
      <c r="N16" s="437"/>
      <c r="O16" s="434"/>
      <c r="P16" s="438"/>
      <c r="Q16" s="439"/>
      <c r="R16" s="434"/>
      <c r="S16" s="435"/>
      <c r="T16" s="478"/>
      <c r="U16" s="436"/>
      <c r="V16" s="441"/>
    </row>
    <row r="17" spans="1:22" x14ac:dyDescent="0.2">
      <c r="A17" s="444"/>
      <c r="B17" s="281"/>
      <c r="C17" s="262"/>
      <c r="D17" s="263"/>
      <c r="E17" s="263"/>
      <c r="F17" s="263"/>
      <c r="G17" s="434"/>
      <c r="H17" s="435"/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78"/>
      <c r="U17" s="436"/>
      <c r="V17" s="441"/>
    </row>
    <row r="18" spans="1:22" x14ac:dyDescent="0.2">
      <c r="A18" s="431"/>
      <c r="B18" s="281"/>
      <c r="C18" s="262"/>
      <c r="D18" s="263"/>
      <c r="E18" s="263"/>
      <c r="F18" s="263"/>
      <c r="G18" s="434"/>
      <c r="H18" s="435"/>
      <c r="I18" s="436"/>
      <c r="J18" s="263"/>
      <c r="K18" s="263"/>
      <c r="L18" s="263"/>
      <c r="M18" s="263"/>
      <c r="N18" s="437"/>
      <c r="O18" s="434"/>
      <c r="P18" s="438"/>
      <c r="Q18" s="439"/>
      <c r="R18" s="434"/>
      <c r="S18" s="435"/>
      <c r="T18" s="478"/>
      <c r="U18" s="436"/>
      <c r="V18" s="441"/>
    </row>
    <row r="19" spans="1:22" x14ac:dyDescent="0.2">
      <c r="A19" s="431"/>
      <c r="B19" s="281"/>
      <c r="C19" s="262"/>
      <c r="D19" s="263"/>
      <c r="E19" s="263"/>
      <c r="F19" s="263"/>
      <c r="G19" s="434"/>
      <c r="H19" s="435"/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78"/>
      <c r="U19" s="436"/>
      <c r="V19" s="441"/>
    </row>
    <row r="20" spans="1:22" x14ac:dyDescent="0.2">
      <c r="A20" s="444"/>
      <c r="B20" s="281"/>
      <c r="C20" s="262"/>
      <c r="D20" s="263"/>
      <c r="E20" s="263"/>
      <c r="F20" s="263"/>
      <c r="G20" s="434"/>
      <c r="H20" s="435"/>
      <c r="I20" s="436"/>
      <c r="J20" s="263"/>
      <c r="K20" s="263"/>
      <c r="L20" s="263"/>
      <c r="M20" s="263"/>
      <c r="N20" s="437"/>
      <c r="O20" s="434"/>
      <c r="P20" s="438"/>
      <c r="Q20" s="439"/>
      <c r="R20" s="434"/>
      <c r="S20" s="435"/>
      <c r="T20" s="478"/>
      <c r="U20" s="436"/>
      <c r="V20" s="441"/>
    </row>
    <row r="21" spans="1:22" x14ac:dyDescent="0.2">
      <c r="A21" s="431"/>
      <c r="B21" s="281"/>
      <c r="C21" s="262"/>
      <c r="D21" s="263"/>
      <c r="E21" s="263"/>
      <c r="F21" s="263"/>
      <c r="G21" s="434"/>
      <c r="H21" s="435"/>
      <c r="I21" s="436"/>
      <c r="J21" s="263"/>
      <c r="K21" s="263"/>
      <c r="L21" s="263"/>
      <c r="M21" s="263"/>
      <c r="N21" s="437"/>
      <c r="O21" s="434"/>
      <c r="P21" s="438"/>
      <c r="Q21" s="439"/>
      <c r="R21" s="434"/>
      <c r="S21" s="435"/>
      <c r="T21" s="478"/>
      <c r="U21" s="436"/>
      <c r="V21" s="441"/>
    </row>
    <row r="22" spans="1:22" x14ac:dyDescent="0.2">
      <c r="A22" s="431"/>
      <c r="B22" s="281"/>
      <c r="C22" s="262"/>
      <c r="D22" s="263"/>
      <c r="E22" s="263"/>
      <c r="F22" s="263"/>
      <c r="G22" s="434"/>
      <c r="H22" s="435"/>
      <c r="I22" s="436"/>
      <c r="J22" s="263"/>
      <c r="K22" s="263"/>
      <c r="L22" s="263"/>
      <c r="M22" s="263"/>
      <c r="N22" s="437"/>
      <c r="O22" s="434"/>
      <c r="P22" s="438"/>
      <c r="Q22" s="439"/>
      <c r="R22" s="434"/>
      <c r="S22" s="435"/>
      <c r="T22" s="478"/>
      <c r="U22" s="436"/>
      <c r="V22" s="441"/>
    </row>
    <row r="23" spans="1:22" x14ac:dyDescent="0.2">
      <c r="A23" s="431"/>
      <c r="B23" s="281"/>
      <c r="C23" s="262"/>
      <c r="D23" s="263"/>
      <c r="E23" s="263"/>
      <c r="F23" s="263"/>
      <c r="G23" s="434"/>
      <c r="H23" s="435"/>
      <c r="I23" s="436"/>
      <c r="J23" s="263"/>
      <c r="K23" s="263"/>
      <c r="L23" s="263"/>
      <c r="M23" s="263"/>
      <c r="N23" s="437"/>
      <c r="O23" s="434"/>
      <c r="P23" s="438"/>
      <c r="Q23" s="439"/>
      <c r="R23" s="434"/>
      <c r="S23" s="435"/>
      <c r="T23" s="478"/>
      <c r="U23" s="436"/>
      <c r="V23" s="441"/>
    </row>
    <row r="24" spans="1:22" x14ac:dyDescent="0.2">
      <c r="A24" s="431"/>
      <c r="B24" s="281"/>
      <c r="C24" s="262"/>
      <c r="D24" s="263"/>
      <c r="E24" s="263"/>
      <c r="F24" s="263"/>
      <c r="G24" s="434"/>
      <c r="H24" s="435"/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78"/>
      <c r="U24" s="436"/>
      <c r="V24" s="441"/>
    </row>
    <row r="25" spans="1:22" x14ac:dyDescent="0.2">
      <c r="A25" s="431"/>
      <c r="B25" s="281"/>
      <c r="C25" s="262"/>
      <c r="D25" s="263"/>
      <c r="E25" s="263"/>
      <c r="F25" s="263"/>
      <c r="G25" s="434"/>
      <c r="H25" s="435"/>
      <c r="I25" s="436"/>
      <c r="J25" s="263"/>
      <c r="K25" s="263"/>
      <c r="L25" s="263"/>
      <c r="M25" s="263"/>
      <c r="N25" s="437"/>
      <c r="O25" s="434"/>
      <c r="P25" s="438"/>
      <c r="Q25" s="439"/>
      <c r="R25" s="434"/>
      <c r="S25" s="435"/>
      <c r="T25" s="478"/>
      <c r="U25" s="436"/>
      <c r="V25" s="441"/>
    </row>
    <row r="26" spans="1:22" x14ac:dyDescent="0.2">
      <c r="A26" s="431"/>
      <c r="B26" s="281"/>
      <c r="C26" s="262"/>
      <c r="D26" s="263"/>
      <c r="E26" s="263"/>
      <c r="F26" s="263"/>
      <c r="G26" s="434"/>
      <c r="H26" s="435"/>
      <c r="I26" s="436"/>
      <c r="J26" s="263"/>
      <c r="K26" s="263"/>
      <c r="L26" s="263"/>
      <c r="M26" s="263"/>
      <c r="N26" s="437"/>
      <c r="O26" s="434"/>
      <c r="P26" s="438"/>
      <c r="Q26" s="439"/>
      <c r="R26" s="434"/>
      <c r="S26" s="435"/>
      <c r="T26" s="478"/>
      <c r="U26" s="436"/>
      <c r="V26" s="441"/>
    </row>
    <row r="27" spans="1:22" x14ac:dyDescent="0.2">
      <c r="A27" s="431"/>
      <c r="B27" s="281"/>
      <c r="C27" s="262"/>
      <c r="D27" s="263"/>
      <c r="E27" s="263"/>
      <c r="F27" s="263"/>
      <c r="G27" s="434"/>
      <c r="H27" s="435"/>
      <c r="I27" s="436"/>
      <c r="J27" s="263"/>
      <c r="K27" s="263"/>
      <c r="L27" s="263"/>
      <c r="M27" s="263"/>
      <c r="N27" s="437"/>
      <c r="O27" s="434"/>
      <c r="P27" s="438"/>
      <c r="Q27" s="439"/>
      <c r="R27" s="434"/>
      <c r="S27" s="435"/>
      <c r="T27" s="478"/>
      <c r="U27" s="436"/>
      <c r="V27" s="441"/>
    </row>
    <row r="28" spans="1:22" x14ac:dyDescent="0.2">
      <c r="A28" s="431"/>
      <c r="B28" s="281"/>
      <c r="C28" s="262"/>
      <c r="D28" s="263"/>
      <c r="E28" s="263"/>
      <c r="F28" s="263"/>
      <c r="G28" s="434"/>
      <c r="H28" s="435"/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78"/>
      <c r="U28" s="436"/>
      <c r="V28" s="441"/>
    </row>
    <row r="29" spans="1:22" x14ac:dyDescent="0.2">
      <c r="A29" s="431"/>
      <c r="B29" s="281"/>
      <c r="C29" s="262"/>
      <c r="D29" s="263"/>
      <c r="E29" s="263"/>
      <c r="F29" s="263"/>
      <c r="G29" s="434"/>
      <c r="H29" s="435"/>
      <c r="I29" s="436"/>
      <c r="J29" s="263"/>
      <c r="K29" s="263"/>
      <c r="L29" s="263"/>
      <c r="M29" s="263"/>
      <c r="N29" s="437"/>
      <c r="O29" s="434"/>
      <c r="P29" s="438"/>
      <c r="Q29" s="439"/>
      <c r="R29" s="434"/>
      <c r="S29" s="435"/>
      <c r="T29" s="478"/>
      <c r="U29" s="436"/>
      <c r="V29" s="441"/>
    </row>
    <row r="30" spans="1:22" x14ac:dyDescent="0.2">
      <c r="A30" s="431"/>
      <c r="B30" s="281"/>
      <c r="C30" s="262"/>
      <c r="D30" s="263"/>
      <c r="E30" s="263"/>
      <c r="F30" s="263"/>
      <c r="G30" s="434"/>
      <c r="H30" s="435"/>
      <c r="I30" s="436"/>
      <c r="J30" s="263"/>
      <c r="K30" s="263"/>
      <c r="L30" s="263"/>
      <c r="M30" s="263"/>
      <c r="N30" s="437"/>
      <c r="O30" s="434"/>
      <c r="P30" s="438"/>
      <c r="Q30" s="439"/>
      <c r="R30" s="434"/>
      <c r="S30" s="435"/>
      <c r="T30" s="478">
        <f>T9*1.3</f>
        <v>179322.13</v>
      </c>
      <c r="U30" s="436"/>
      <c r="V30" s="441"/>
    </row>
    <row r="31" spans="1:22" x14ac:dyDescent="0.2">
      <c r="A31" s="431"/>
      <c r="B31" s="281"/>
      <c r="C31" s="262" t="s">
        <v>577</v>
      </c>
      <c r="D31" s="263"/>
      <c r="E31" s="263"/>
      <c r="F31" s="263"/>
      <c r="G31" s="434"/>
      <c r="H31" s="435"/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78"/>
      <c r="U31" s="436"/>
      <c r="V31" s="441"/>
    </row>
    <row r="32" spans="1:22" x14ac:dyDescent="0.2">
      <c r="A32" s="431"/>
      <c r="B32" s="281"/>
      <c r="C32" s="262"/>
      <c r="D32" s="263"/>
      <c r="E32" s="263"/>
      <c r="F32" s="263"/>
      <c r="G32" s="434"/>
      <c r="H32" s="435"/>
      <c r="I32" s="436"/>
      <c r="J32" s="263"/>
      <c r="K32" s="263"/>
      <c r="L32" s="263"/>
      <c r="M32" s="263"/>
      <c r="N32" s="437"/>
      <c r="O32" s="434"/>
      <c r="P32" s="438"/>
      <c r="Q32" s="439"/>
      <c r="R32" s="434"/>
      <c r="S32" s="435"/>
      <c r="T32" s="478"/>
      <c r="U32" s="436"/>
      <c r="V32" s="441"/>
    </row>
    <row r="33" spans="1:22" x14ac:dyDescent="0.2">
      <c r="A33" s="431"/>
      <c r="B33" s="281"/>
      <c r="C33" s="262" t="s">
        <v>578</v>
      </c>
      <c r="D33" s="263"/>
      <c r="E33" s="263"/>
      <c r="F33" s="263"/>
      <c r="G33" s="434"/>
      <c r="H33" s="435"/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78">
        <f>T11*1.3</f>
        <v>131767.09</v>
      </c>
      <c r="U33" s="436"/>
      <c r="V33" s="441"/>
    </row>
    <row r="34" spans="1:22" x14ac:dyDescent="0.2">
      <c r="A34" s="431"/>
      <c r="B34" s="281"/>
      <c r="C34" s="262"/>
      <c r="D34" s="263"/>
      <c r="E34" s="263"/>
      <c r="F34" s="263"/>
      <c r="G34" s="434"/>
      <c r="H34" s="435"/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78"/>
      <c r="U34" s="436"/>
      <c r="V34" s="441"/>
    </row>
    <row r="35" spans="1:22" x14ac:dyDescent="0.2">
      <c r="A35" s="431"/>
      <c r="B35" s="281"/>
      <c r="C35" s="262" t="s">
        <v>579</v>
      </c>
      <c r="D35" s="263"/>
      <c r="E35" s="263"/>
      <c r="F35" s="263"/>
      <c r="G35" s="434"/>
      <c r="H35" s="435"/>
      <c r="I35" s="436"/>
      <c r="J35" s="263"/>
      <c r="K35" s="263"/>
      <c r="L35" s="263"/>
      <c r="M35" s="263"/>
      <c r="N35" s="437"/>
      <c r="O35" s="434"/>
      <c r="P35" s="438"/>
      <c r="Q35" s="439"/>
      <c r="R35" s="434"/>
      <c r="S35" s="435"/>
      <c r="T35" s="478">
        <f>T13*1.3</f>
        <v>191210.89000000004</v>
      </c>
      <c r="U35" s="436"/>
      <c r="V35" s="441"/>
    </row>
    <row r="36" spans="1:22" x14ac:dyDescent="0.2">
      <c r="A36" s="431"/>
      <c r="B36" s="281"/>
      <c r="C36" s="26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78"/>
      <c r="U36" s="436"/>
      <c r="V36" s="441"/>
    </row>
    <row r="37" spans="1:22" x14ac:dyDescent="0.2">
      <c r="A37" s="431"/>
      <c r="B37" s="281"/>
      <c r="C37" s="262"/>
      <c r="D37" s="263"/>
      <c r="E37" s="263"/>
      <c r="F37" s="263"/>
      <c r="G37" s="434"/>
      <c r="H37" s="435"/>
      <c r="I37" s="436"/>
      <c r="J37" s="263"/>
      <c r="K37" s="263"/>
      <c r="L37" s="263"/>
      <c r="M37" s="263"/>
      <c r="N37" s="437"/>
      <c r="O37" s="434"/>
      <c r="P37" s="438"/>
      <c r="Q37" s="439"/>
      <c r="R37" s="434"/>
      <c r="S37" s="435"/>
      <c r="T37" s="478"/>
      <c r="U37" s="436"/>
      <c r="V37" s="441"/>
    </row>
    <row r="38" spans="1:22" x14ac:dyDescent="0.2">
      <c r="A38" s="431"/>
      <c r="B38" s="281"/>
      <c r="C38" s="262"/>
      <c r="D38" s="263"/>
      <c r="E38" s="263"/>
      <c r="F38" s="263"/>
      <c r="G38" s="434"/>
      <c r="H38" s="435"/>
      <c r="I38" s="436"/>
      <c r="J38" s="263"/>
      <c r="K38" s="263"/>
      <c r="L38" s="263"/>
      <c r="M38" s="263"/>
      <c r="N38" s="437"/>
      <c r="O38" s="434"/>
      <c r="P38" s="438"/>
      <c r="Q38" s="439"/>
      <c r="R38" s="434"/>
      <c r="S38" s="435"/>
      <c r="T38" s="478"/>
      <c r="U38" s="436"/>
      <c r="V38" s="441"/>
    </row>
    <row r="39" spans="1:22" x14ac:dyDescent="0.2">
      <c r="A39" s="431"/>
      <c r="B39" s="281"/>
      <c r="C39" s="262"/>
      <c r="D39" s="263"/>
      <c r="E39" s="263"/>
      <c r="F39" s="263"/>
      <c r="G39" s="434"/>
      <c r="H39" s="435"/>
      <c r="I39" s="436"/>
      <c r="J39" s="263"/>
      <c r="K39" s="263"/>
      <c r="L39" s="263"/>
      <c r="M39" s="263"/>
      <c r="N39" s="437"/>
      <c r="O39" s="434"/>
      <c r="P39" s="438"/>
      <c r="Q39" s="439"/>
      <c r="R39" s="434"/>
      <c r="S39" s="435"/>
      <c r="T39" s="478"/>
      <c r="U39" s="436"/>
      <c r="V39" s="441"/>
    </row>
    <row r="40" spans="1:22" x14ac:dyDescent="0.2">
      <c r="A40" s="431"/>
      <c r="B40" s="281"/>
      <c r="C40" s="262"/>
      <c r="D40" s="263"/>
      <c r="E40" s="263"/>
      <c r="F40" s="263"/>
      <c r="G40" s="434"/>
      <c r="H40" s="435"/>
      <c r="I40" s="436"/>
      <c r="J40" s="263"/>
      <c r="K40" s="263"/>
      <c r="L40" s="263"/>
      <c r="M40" s="263"/>
      <c r="N40" s="437"/>
      <c r="O40" s="434"/>
      <c r="P40" s="438"/>
      <c r="Q40" s="439"/>
      <c r="R40" s="434"/>
      <c r="S40" s="435"/>
      <c r="T40" s="478"/>
      <c r="U40" s="436"/>
      <c r="V40" s="441"/>
    </row>
    <row r="41" spans="1:22" ht="13.5" thickBot="1" x14ac:dyDescent="0.25">
      <c r="A41" s="446"/>
      <c r="B41" s="364"/>
      <c r="C41" s="527"/>
      <c r="D41" s="270"/>
      <c r="E41" s="270"/>
      <c r="F41" s="270"/>
      <c r="G41" s="448"/>
      <c r="H41" s="449"/>
      <c r="I41" s="450"/>
      <c r="J41" s="270"/>
      <c r="K41" s="442"/>
      <c r="L41" s="442"/>
      <c r="M41" s="270"/>
      <c r="N41" s="451"/>
      <c r="O41" s="448"/>
      <c r="P41" s="452"/>
      <c r="Q41" s="453"/>
      <c r="R41" s="448"/>
      <c r="S41" s="454"/>
      <c r="T41" s="479"/>
      <c r="U41" s="456"/>
      <c r="V41" s="441"/>
    </row>
    <row r="42" spans="1:22" ht="13.5" thickBot="1" x14ac:dyDescent="0.25">
      <c r="A42" s="457"/>
      <c r="B42" s="458"/>
      <c r="C42" s="458"/>
      <c r="D42" s="460"/>
      <c r="E42" s="460"/>
      <c r="F42" s="460"/>
      <c r="G42" s="460"/>
      <c r="H42" s="461">
        <f>SUM(H8:H41)</f>
        <v>386384.70000000007</v>
      </c>
      <c r="I42" s="462"/>
      <c r="J42" s="463"/>
      <c r="K42" s="461">
        <f>SUM(K8:K41)</f>
        <v>0</v>
      </c>
      <c r="L42" s="461">
        <f>SUM(L8:L41)</f>
        <v>0</v>
      </c>
      <c r="M42" s="462"/>
      <c r="N42" s="464"/>
      <c r="O42" s="463"/>
      <c r="P42" s="461">
        <f>SUM(P8:P41)</f>
        <v>0</v>
      </c>
      <c r="Q42" s="462"/>
      <c r="R42" s="463"/>
      <c r="S42" s="465">
        <f>SUM(S8:S41)</f>
        <v>0</v>
      </c>
      <c r="T42" s="461">
        <f>SUM(T8:T41)</f>
        <v>888684.81</v>
      </c>
      <c r="U42" s="467" t="s">
        <v>397</v>
      </c>
      <c r="V42" s="468"/>
    </row>
    <row r="43" spans="1:22" x14ac:dyDescent="0.2">
      <c r="N43" s="470"/>
    </row>
    <row r="44" spans="1:22" x14ac:dyDescent="0.2">
      <c r="N44" s="470"/>
    </row>
    <row r="45" spans="1:22" x14ac:dyDescent="0.2">
      <c r="N45" s="470"/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</sheetData>
  <mergeCells count="8">
    <mergeCell ref="W2:X2"/>
    <mergeCell ref="A4:C4"/>
    <mergeCell ref="T1:V1"/>
    <mergeCell ref="T2:V2"/>
    <mergeCell ref="T3:V3"/>
    <mergeCell ref="T4:V4"/>
    <mergeCell ref="H3:N3"/>
    <mergeCell ref="H4:N4"/>
  </mergeCells>
  <hyperlinks>
    <hyperlink ref="D9" location="MEP!A1" display="MEP!A1"/>
    <hyperlink ref="D11" location="MEP!A1" display="MEP!A1"/>
    <hyperlink ref="D13" location="MEP!A1" display="MEP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workbookViewId="0">
      <pane xSplit="14" ySplit="6" topLeftCell="P7" activePane="bottomRight" state="frozen"/>
      <selection pane="topRight" activeCell="O1" sqref="O1"/>
      <selection pane="bottomLeft" activeCell="A7" sqref="A7"/>
      <selection pane="bottomRight" activeCell="A17" sqref="A17:C17"/>
    </sheetView>
  </sheetViews>
  <sheetFormatPr defaultRowHeight="15" x14ac:dyDescent="0.25"/>
  <cols>
    <col min="1" max="3" width="9.140625" style="89"/>
    <col min="4" max="15" width="9.140625" style="87"/>
    <col min="16" max="16" width="9.140625" style="194"/>
    <col min="17" max="16384" width="9.140625" style="87"/>
  </cols>
  <sheetData>
    <row r="1" spans="1:19" ht="18" x14ac:dyDescent="0.25">
      <c r="A1" s="47"/>
      <c r="C1" s="47"/>
      <c r="D1" s="2"/>
      <c r="E1" s="3" t="s">
        <v>0</v>
      </c>
      <c r="F1" s="3"/>
      <c r="G1" s="4"/>
      <c r="H1" s="4"/>
      <c r="I1" s="5"/>
      <c r="J1" s="5"/>
      <c r="K1" s="6"/>
      <c r="L1" s="605" t="s">
        <v>721</v>
      </c>
      <c r="M1" s="605"/>
      <c r="N1" s="7"/>
      <c r="O1" s="8"/>
      <c r="P1" s="9"/>
    </row>
    <row r="2" spans="1:19" ht="15.75" x14ac:dyDescent="0.25">
      <c r="A2" s="47"/>
      <c r="C2" s="47"/>
      <c r="D2" s="9"/>
      <c r="E2" s="10"/>
      <c r="F2" s="10"/>
      <c r="G2" s="10"/>
      <c r="H2" s="10"/>
      <c r="I2" s="10"/>
      <c r="J2" s="10"/>
      <c r="K2" s="6"/>
      <c r="L2" s="606" t="s">
        <v>21</v>
      </c>
      <c r="M2" s="606"/>
      <c r="N2" s="11"/>
      <c r="O2" s="12"/>
      <c r="P2" s="638" t="s">
        <v>781</v>
      </c>
      <c r="Q2" s="638"/>
    </row>
    <row r="3" spans="1:19" x14ac:dyDescent="0.25">
      <c r="A3" s="48"/>
      <c r="B3" s="88"/>
      <c r="C3" s="49"/>
      <c r="D3" s="605" t="s">
        <v>17</v>
      </c>
      <c r="E3" s="605"/>
      <c r="F3" s="605"/>
      <c r="G3" s="7"/>
      <c r="H3" s="7"/>
      <c r="I3" s="7"/>
      <c r="J3" s="6"/>
      <c r="K3" s="6"/>
      <c r="L3" s="606" t="s">
        <v>728</v>
      </c>
      <c r="M3" s="606"/>
      <c r="N3" s="11"/>
      <c r="O3" s="12"/>
      <c r="P3" s="9"/>
    </row>
    <row r="4" spans="1:19" x14ac:dyDescent="0.25">
      <c r="A4" s="607" t="s">
        <v>18</v>
      </c>
      <c r="B4" s="607"/>
      <c r="C4" s="607"/>
      <c r="D4" s="608" t="s">
        <v>691</v>
      </c>
      <c r="E4" s="608"/>
      <c r="F4" s="608"/>
      <c r="G4" s="13"/>
      <c r="H4" s="13"/>
      <c r="I4" s="13"/>
      <c r="J4" s="13"/>
      <c r="K4" s="13"/>
      <c r="L4" s="608" t="s">
        <v>19</v>
      </c>
      <c r="M4" s="608"/>
      <c r="N4" s="13"/>
      <c r="O4" s="14"/>
      <c r="P4" s="14"/>
    </row>
    <row r="5" spans="1:19" x14ac:dyDescent="0.25">
      <c r="A5" s="50"/>
      <c r="B5" s="51"/>
      <c r="C5" s="52"/>
      <c r="D5" s="17" t="s">
        <v>2</v>
      </c>
      <c r="E5" s="18" t="s">
        <v>3</v>
      </c>
      <c r="F5" s="19"/>
      <c r="G5" s="19"/>
      <c r="H5" s="19"/>
      <c r="I5" s="15"/>
      <c r="J5" s="20"/>
      <c r="K5" s="15"/>
      <c r="L5" s="20"/>
      <c r="M5" s="15"/>
      <c r="N5" s="20"/>
      <c r="O5" s="17" t="s">
        <v>4</v>
      </c>
      <c r="P5" s="17"/>
      <c r="Q5" s="44"/>
      <c r="R5" s="16"/>
      <c r="S5" s="45"/>
    </row>
    <row r="6" spans="1:19" ht="15.75" thickBot="1" x14ac:dyDescent="0.3">
      <c r="A6" s="53" t="s">
        <v>5</v>
      </c>
      <c r="B6" s="54"/>
      <c r="C6" s="55"/>
      <c r="D6" s="41" t="s">
        <v>6</v>
      </c>
      <c r="E6" s="42" t="s">
        <v>7</v>
      </c>
      <c r="F6" s="42" t="s">
        <v>8</v>
      </c>
      <c r="G6" s="42" t="s">
        <v>9</v>
      </c>
      <c r="H6" s="41" t="s">
        <v>10</v>
      </c>
      <c r="I6" s="42" t="s">
        <v>11</v>
      </c>
      <c r="J6" s="42" t="s">
        <v>12</v>
      </c>
      <c r="K6" s="42" t="s">
        <v>13</v>
      </c>
      <c r="L6" s="43" t="s">
        <v>12</v>
      </c>
      <c r="M6" s="42" t="s">
        <v>14</v>
      </c>
      <c r="N6" s="43" t="s">
        <v>12</v>
      </c>
      <c r="O6" s="41" t="s">
        <v>15</v>
      </c>
      <c r="P6" s="41" t="s">
        <v>742</v>
      </c>
      <c r="Q6" s="590" t="s">
        <v>40</v>
      </c>
      <c r="R6" s="591"/>
      <c r="S6" s="592"/>
    </row>
    <row r="7" spans="1:19" x14ac:dyDescent="0.25">
      <c r="A7" s="593"/>
      <c r="B7" s="594"/>
      <c r="C7" s="595"/>
      <c r="D7" s="38"/>
      <c r="E7" s="75"/>
      <c r="F7" s="39"/>
      <c r="G7" s="76"/>
      <c r="H7" s="40"/>
      <c r="I7" s="75"/>
      <c r="J7" s="40"/>
      <c r="K7" s="56"/>
      <c r="L7" s="57"/>
      <c r="M7" s="75"/>
      <c r="N7" s="40"/>
      <c r="O7" s="83"/>
      <c r="P7" s="83"/>
      <c r="Q7" s="596"/>
      <c r="R7" s="597"/>
      <c r="S7" s="598"/>
    </row>
    <row r="8" spans="1:19" x14ac:dyDescent="0.25">
      <c r="A8" s="599" t="s">
        <v>687</v>
      </c>
      <c r="B8" s="600"/>
      <c r="C8" s="601"/>
      <c r="D8" s="564" t="s">
        <v>84</v>
      </c>
      <c r="E8" s="79">
        <f>Concrete!E8</f>
        <v>1</v>
      </c>
      <c r="F8" s="84">
        <v>1</v>
      </c>
      <c r="G8" s="80">
        <v>0.5</v>
      </c>
      <c r="H8" s="23">
        <v>1</v>
      </c>
      <c r="I8" s="79">
        <f>Concrete!I8</f>
        <v>10141</v>
      </c>
      <c r="J8" s="24"/>
      <c r="K8" s="58">
        <f>E8*F8*G8*H8*I8</f>
        <v>5070.5</v>
      </c>
      <c r="L8" s="23" t="s">
        <v>42</v>
      </c>
      <c r="M8" s="27">
        <f>K8/27</f>
        <v>187.7962962962963</v>
      </c>
      <c r="N8" s="23" t="s">
        <v>16</v>
      </c>
      <c r="O8" s="77"/>
      <c r="P8" s="570" t="s">
        <v>758</v>
      </c>
      <c r="Q8" s="602" t="s">
        <v>688</v>
      </c>
      <c r="R8" s="603"/>
      <c r="S8" s="604"/>
    </row>
    <row r="9" spans="1:19" x14ac:dyDescent="0.25">
      <c r="A9" s="599"/>
      <c r="B9" s="600"/>
      <c r="C9" s="601"/>
      <c r="D9" s="22"/>
      <c r="E9" s="79"/>
      <c r="F9" s="84"/>
      <c r="G9" s="80"/>
      <c r="H9" s="23"/>
      <c r="I9" s="79"/>
      <c r="J9" s="23"/>
      <c r="K9" s="58"/>
      <c r="L9" s="23"/>
      <c r="M9" s="79"/>
      <c r="N9" s="23"/>
      <c r="O9" s="77"/>
      <c r="P9" s="77"/>
      <c r="Q9" s="602"/>
      <c r="R9" s="603"/>
      <c r="S9" s="604"/>
    </row>
    <row r="10" spans="1:19" x14ac:dyDescent="0.25">
      <c r="A10" s="599"/>
      <c r="B10" s="600"/>
      <c r="C10" s="601"/>
      <c r="D10" s="22"/>
      <c r="E10" s="79"/>
      <c r="F10" s="84"/>
      <c r="G10" s="80"/>
      <c r="H10" s="23"/>
      <c r="I10" s="79"/>
      <c r="J10" s="23"/>
      <c r="K10" s="58"/>
      <c r="L10" s="23"/>
      <c r="M10" s="79"/>
      <c r="N10" s="23"/>
      <c r="O10" s="77"/>
      <c r="P10" s="77"/>
      <c r="Q10" s="602"/>
      <c r="R10" s="603"/>
      <c r="S10" s="604"/>
    </row>
    <row r="11" spans="1:19" x14ac:dyDescent="0.25">
      <c r="A11" s="599"/>
      <c r="B11" s="600"/>
      <c r="C11" s="601"/>
      <c r="D11" s="25"/>
      <c r="E11" s="79"/>
      <c r="F11" s="84"/>
      <c r="G11" s="80"/>
      <c r="H11" s="23"/>
      <c r="I11" s="79"/>
      <c r="J11" s="23"/>
      <c r="K11" s="58"/>
      <c r="L11" s="23"/>
      <c r="M11" s="79"/>
      <c r="N11" s="23"/>
      <c r="O11" s="77"/>
      <c r="P11" s="77"/>
      <c r="Q11" s="602"/>
      <c r="R11" s="603"/>
      <c r="S11" s="604"/>
    </row>
    <row r="12" spans="1:19" x14ac:dyDescent="0.25">
      <c r="A12" s="599"/>
      <c r="B12" s="600"/>
      <c r="C12" s="601"/>
      <c r="D12" s="25"/>
      <c r="E12" s="79"/>
      <c r="F12" s="84"/>
      <c r="G12" s="80"/>
      <c r="H12" s="23"/>
      <c r="I12" s="79"/>
      <c r="J12" s="23"/>
      <c r="K12" s="58"/>
      <c r="L12" s="23"/>
      <c r="M12" s="79"/>
      <c r="N12" s="23"/>
      <c r="O12" s="77"/>
      <c r="P12" s="77"/>
      <c r="Q12" s="602"/>
      <c r="R12" s="603"/>
      <c r="S12" s="604"/>
    </row>
    <row r="13" spans="1:19" x14ac:dyDescent="0.25">
      <c r="A13" s="599"/>
      <c r="B13" s="600"/>
      <c r="C13" s="601"/>
      <c r="D13" s="25"/>
      <c r="E13" s="79"/>
      <c r="F13" s="84"/>
      <c r="G13" s="80"/>
      <c r="H13" s="23"/>
      <c r="I13" s="79"/>
      <c r="J13" s="82"/>
      <c r="K13" s="58"/>
      <c r="L13" s="24"/>
      <c r="M13" s="79"/>
      <c r="N13" s="23"/>
      <c r="O13" s="77"/>
      <c r="P13" s="77"/>
      <c r="Q13" s="602"/>
      <c r="R13" s="603"/>
      <c r="S13" s="604"/>
    </row>
    <row r="14" spans="1:19" x14ac:dyDescent="0.25">
      <c r="A14" s="599"/>
      <c r="B14" s="600"/>
      <c r="C14" s="601"/>
      <c r="D14" s="25"/>
      <c r="E14" s="79"/>
      <c r="F14" s="84"/>
      <c r="G14" s="80"/>
      <c r="H14" s="23"/>
      <c r="I14" s="79"/>
      <c r="J14" s="23"/>
      <c r="K14" s="60"/>
      <c r="L14" s="23"/>
      <c r="M14" s="32"/>
      <c r="N14" s="33"/>
      <c r="O14" s="90"/>
      <c r="P14" s="559"/>
      <c r="Q14" s="602"/>
      <c r="R14" s="603"/>
      <c r="S14" s="604"/>
    </row>
    <row r="15" spans="1:19" x14ac:dyDescent="0.25">
      <c r="A15" s="599"/>
      <c r="B15" s="600"/>
      <c r="C15" s="601"/>
      <c r="D15" s="25"/>
      <c r="E15" s="79"/>
      <c r="F15" s="84"/>
      <c r="G15" s="80"/>
      <c r="H15" s="23"/>
      <c r="I15" s="79"/>
      <c r="J15" s="23"/>
      <c r="K15" s="58"/>
      <c r="L15" s="23"/>
      <c r="M15" s="34"/>
      <c r="N15" s="35"/>
      <c r="O15" s="77"/>
      <c r="P15" s="77"/>
      <c r="Q15" s="602"/>
      <c r="R15" s="603"/>
      <c r="S15" s="604"/>
    </row>
    <row r="16" spans="1:19" x14ac:dyDescent="0.25">
      <c r="A16" s="612"/>
      <c r="B16" s="613"/>
      <c r="C16" s="614"/>
      <c r="D16" s="25"/>
      <c r="E16" s="79"/>
      <c r="F16" s="84"/>
      <c r="G16" s="80"/>
      <c r="H16" s="23"/>
      <c r="I16" s="79"/>
      <c r="J16" s="23"/>
      <c r="K16" s="58"/>
      <c r="L16" s="23"/>
      <c r="M16" s="34"/>
      <c r="N16" s="35"/>
      <c r="O16" s="77"/>
      <c r="P16" s="77"/>
      <c r="Q16" s="602"/>
      <c r="R16" s="603"/>
      <c r="S16" s="604"/>
    </row>
    <row r="17" spans="1:19" x14ac:dyDescent="0.25">
      <c r="A17" s="609"/>
      <c r="B17" s="610"/>
      <c r="C17" s="611"/>
      <c r="D17" s="25"/>
      <c r="E17" s="79"/>
      <c r="F17" s="84"/>
      <c r="G17" s="80"/>
      <c r="H17" s="23"/>
      <c r="I17" s="79"/>
      <c r="J17" s="23"/>
      <c r="K17" s="58"/>
      <c r="L17" s="23"/>
      <c r="M17" s="34"/>
      <c r="N17" s="35"/>
      <c r="O17" s="77"/>
      <c r="P17" s="77"/>
      <c r="Q17" s="602"/>
      <c r="R17" s="603"/>
      <c r="S17" s="604"/>
    </row>
    <row r="18" spans="1:19" x14ac:dyDescent="0.25">
      <c r="A18" s="599"/>
      <c r="B18" s="600"/>
      <c r="C18" s="601"/>
      <c r="D18" s="22"/>
      <c r="E18" s="79"/>
      <c r="F18" s="84"/>
      <c r="G18" s="80"/>
      <c r="H18" s="23"/>
      <c r="I18" s="79"/>
      <c r="J18" s="24"/>
      <c r="K18" s="59"/>
      <c r="L18" s="24"/>
      <c r="M18" s="34"/>
      <c r="N18" s="35"/>
      <c r="O18" s="77"/>
      <c r="P18" s="77"/>
      <c r="Q18" s="602"/>
      <c r="R18" s="603"/>
      <c r="S18" s="604"/>
    </row>
    <row r="19" spans="1:19" x14ac:dyDescent="0.25">
      <c r="A19" s="599"/>
      <c r="B19" s="600"/>
      <c r="C19" s="601"/>
      <c r="D19" s="22"/>
      <c r="E19" s="79"/>
      <c r="F19" s="84"/>
      <c r="G19" s="80"/>
      <c r="H19" s="23"/>
      <c r="I19" s="79"/>
      <c r="J19" s="23"/>
      <c r="K19" s="58"/>
      <c r="L19" s="23"/>
      <c r="M19" s="34"/>
      <c r="N19" s="35"/>
      <c r="O19" s="77"/>
      <c r="P19" s="77"/>
      <c r="Q19" s="602"/>
      <c r="R19" s="603"/>
      <c r="S19" s="604"/>
    </row>
    <row r="20" spans="1:19" x14ac:dyDescent="0.25">
      <c r="A20" s="599"/>
      <c r="B20" s="600"/>
      <c r="C20" s="601"/>
      <c r="D20" s="25"/>
      <c r="E20" s="79"/>
      <c r="F20" s="84"/>
      <c r="G20" s="80"/>
      <c r="H20" s="23"/>
      <c r="I20" s="27"/>
      <c r="J20" s="23"/>
      <c r="K20" s="58"/>
      <c r="L20" s="23"/>
      <c r="M20" s="34"/>
      <c r="N20" s="35"/>
      <c r="O20" s="77"/>
      <c r="P20" s="77"/>
      <c r="Q20" s="602"/>
      <c r="R20" s="603"/>
      <c r="S20" s="604"/>
    </row>
    <row r="21" spans="1:19" x14ac:dyDescent="0.25">
      <c r="A21" s="609"/>
      <c r="B21" s="610"/>
      <c r="C21" s="611"/>
      <c r="D21" s="25"/>
      <c r="E21" s="79"/>
      <c r="F21" s="84"/>
      <c r="G21" s="80"/>
      <c r="H21" s="23"/>
      <c r="I21" s="79"/>
      <c r="J21" s="23"/>
      <c r="K21" s="58"/>
      <c r="L21" s="23"/>
      <c r="M21" s="34"/>
      <c r="N21" s="35"/>
      <c r="O21" s="77"/>
      <c r="P21" s="77"/>
      <c r="Q21" s="602"/>
      <c r="R21" s="603"/>
      <c r="S21" s="604"/>
    </row>
    <row r="22" spans="1:19" x14ac:dyDescent="0.25">
      <c r="A22" s="599"/>
      <c r="B22" s="600"/>
      <c r="C22" s="601"/>
      <c r="D22" s="25"/>
      <c r="E22" s="79"/>
      <c r="F22" s="84"/>
      <c r="G22" s="80"/>
      <c r="H22" s="23"/>
      <c r="I22" s="79"/>
      <c r="J22" s="23"/>
      <c r="K22" s="58"/>
      <c r="L22" s="23"/>
      <c r="M22" s="34"/>
      <c r="N22" s="35"/>
      <c r="O22" s="77"/>
      <c r="P22" s="77"/>
      <c r="Q22" s="602"/>
      <c r="R22" s="603"/>
      <c r="S22" s="604"/>
    </row>
    <row r="23" spans="1:19" x14ac:dyDescent="0.25">
      <c r="A23" s="599"/>
      <c r="B23" s="600"/>
      <c r="C23" s="601"/>
      <c r="D23" s="25"/>
      <c r="E23" s="79"/>
      <c r="F23" s="84"/>
      <c r="G23" s="80"/>
      <c r="H23" s="23"/>
      <c r="I23" s="79"/>
      <c r="J23" s="23"/>
      <c r="K23" s="58"/>
      <c r="L23" s="23"/>
      <c r="M23" s="34"/>
      <c r="N23" s="35"/>
      <c r="O23" s="77"/>
      <c r="P23" s="77"/>
      <c r="Q23" s="602"/>
      <c r="R23" s="603"/>
      <c r="S23" s="604"/>
    </row>
    <row r="24" spans="1:19" x14ac:dyDescent="0.25">
      <c r="A24" s="616"/>
      <c r="B24" s="617"/>
      <c r="C24" s="618"/>
      <c r="D24" s="25"/>
      <c r="E24" s="79"/>
      <c r="F24" s="84"/>
      <c r="G24" s="80"/>
      <c r="H24" s="23"/>
      <c r="I24" s="79"/>
      <c r="J24" s="23"/>
      <c r="K24" s="58"/>
      <c r="L24" s="23"/>
      <c r="M24" s="34"/>
      <c r="N24" s="35"/>
      <c r="O24" s="77"/>
      <c r="P24" s="77"/>
      <c r="Q24" s="602"/>
      <c r="R24" s="603"/>
      <c r="S24" s="604"/>
    </row>
    <row r="25" spans="1:19" x14ac:dyDescent="0.25">
      <c r="A25" s="615"/>
      <c r="B25" s="600"/>
      <c r="C25" s="601"/>
      <c r="D25" s="78"/>
      <c r="E25" s="79"/>
      <c r="F25" s="84"/>
      <c r="G25" s="80"/>
      <c r="H25" s="23"/>
      <c r="I25" s="27"/>
      <c r="J25" s="23"/>
      <c r="K25" s="58"/>
      <c r="L25" s="23"/>
      <c r="M25" s="34"/>
      <c r="N25" s="35"/>
      <c r="O25" s="77"/>
      <c r="P25" s="77"/>
      <c r="Q25" s="602"/>
      <c r="R25" s="603"/>
      <c r="S25" s="604"/>
    </row>
    <row r="26" spans="1:19" x14ac:dyDescent="0.25">
      <c r="A26" s="615"/>
      <c r="B26" s="600"/>
      <c r="C26" s="601"/>
      <c r="D26" s="78"/>
      <c r="E26" s="79"/>
      <c r="F26" s="84"/>
      <c r="G26" s="80"/>
      <c r="H26" s="23"/>
      <c r="I26" s="79"/>
      <c r="J26" s="23"/>
      <c r="K26" s="58"/>
      <c r="L26" s="23"/>
      <c r="M26" s="34"/>
      <c r="N26" s="35"/>
      <c r="O26" s="77"/>
      <c r="P26" s="77"/>
      <c r="Q26" s="602"/>
      <c r="R26" s="603"/>
      <c r="S26" s="604"/>
    </row>
    <row r="27" spans="1:19" x14ac:dyDescent="0.25">
      <c r="A27" s="615"/>
      <c r="B27" s="600"/>
      <c r="C27" s="601"/>
      <c r="D27" s="78"/>
      <c r="E27" s="79"/>
      <c r="F27" s="84"/>
      <c r="G27" s="80"/>
      <c r="H27" s="23"/>
      <c r="I27" s="79"/>
      <c r="J27" s="23"/>
      <c r="K27" s="58"/>
      <c r="L27" s="23"/>
      <c r="M27" s="34"/>
      <c r="N27" s="35"/>
      <c r="O27" s="77"/>
      <c r="P27" s="77"/>
      <c r="Q27" s="602"/>
      <c r="R27" s="603"/>
      <c r="S27" s="604"/>
    </row>
    <row r="28" spans="1:19" x14ac:dyDescent="0.25">
      <c r="A28" s="615"/>
      <c r="B28" s="600"/>
      <c r="C28" s="601"/>
      <c r="D28" s="78"/>
      <c r="E28" s="79"/>
      <c r="F28" s="84"/>
      <c r="G28" s="80"/>
      <c r="H28" s="23"/>
      <c r="I28" s="79"/>
      <c r="J28" s="23"/>
      <c r="K28" s="58"/>
      <c r="L28" s="23"/>
      <c r="M28" s="34"/>
      <c r="N28" s="35"/>
      <c r="O28" s="77"/>
      <c r="P28" s="77"/>
      <c r="Q28" s="602"/>
      <c r="R28" s="603"/>
      <c r="S28" s="604"/>
    </row>
    <row r="29" spans="1:19" x14ac:dyDescent="0.25">
      <c r="A29" s="615"/>
      <c r="B29" s="600"/>
      <c r="C29" s="601"/>
      <c r="D29" s="78"/>
      <c r="E29" s="79"/>
      <c r="F29" s="84"/>
      <c r="G29" s="80"/>
      <c r="H29" s="23"/>
      <c r="I29" s="79"/>
      <c r="J29" s="23"/>
      <c r="K29" s="58"/>
      <c r="L29" s="23"/>
      <c r="M29" s="34"/>
      <c r="N29" s="35"/>
      <c r="O29" s="77"/>
      <c r="P29" s="77"/>
      <c r="Q29" s="602"/>
      <c r="R29" s="603"/>
      <c r="S29" s="604"/>
    </row>
    <row r="30" spans="1:19" x14ac:dyDescent="0.25">
      <c r="A30" s="615"/>
      <c r="B30" s="600"/>
      <c r="C30" s="601"/>
      <c r="D30" s="78"/>
      <c r="E30" s="79"/>
      <c r="F30" s="84"/>
      <c r="G30" s="80"/>
      <c r="H30" s="23"/>
      <c r="I30" s="79"/>
      <c r="J30" s="23"/>
      <c r="K30" s="58"/>
      <c r="L30" s="23"/>
      <c r="M30" s="34"/>
      <c r="N30" s="35"/>
      <c r="O30" s="77"/>
      <c r="P30" s="77"/>
      <c r="Q30" s="602"/>
      <c r="R30" s="603"/>
      <c r="S30" s="604"/>
    </row>
    <row r="31" spans="1:19" x14ac:dyDescent="0.25">
      <c r="A31" s="615"/>
      <c r="B31" s="600"/>
      <c r="C31" s="601"/>
      <c r="D31" s="78"/>
      <c r="E31" s="79"/>
      <c r="F31" s="84"/>
      <c r="G31" s="80"/>
      <c r="H31" s="23"/>
      <c r="I31" s="79"/>
      <c r="J31" s="23"/>
      <c r="K31" s="58"/>
      <c r="L31" s="23"/>
      <c r="M31" s="34"/>
      <c r="N31" s="35"/>
      <c r="O31" s="77"/>
      <c r="P31" s="77"/>
      <c r="Q31" s="602"/>
      <c r="R31" s="603"/>
      <c r="S31" s="604"/>
    </row>
    <row r="32" spans="1:19" x14ac:dyDescent="0.25">
      <c r="A32" s="619"/>
      <c r="B32" s="620"/>
      <c r="C32" s="621"/>
      <c r="D32" s="25"/>
      <c r="E32" s="79"/>
      <c r="F32" s="84"/>
      <c r="G32" s="80"/>
      <c r="H32" s="23"/>
      <c r="I32" s="79"/>
      <c r="J32" s="23"/>
      <c r="K32" s="58"/>
      <c r="L32" s="23"/>
      <c r="M32" s="34"/>
      <c r="N32" s="35"/>
      <c r="O32" s="77"/>
      <c r="P32" s="77"/>
      <c r="Q32" s="602"/>
      <c r="R32" s="603"/>
      <c r="S32" s="604"/>
    </row>
    <row r="33" spans="1:19" x14ac:dyDescent="0.25">
      <c r="A33" s="599"/>
      <c r="B33" s="600"/>
      <c r="C33" s="601"/>
      <c r="D33" s="22"/>
      <c r="E33" s="79"/>
      <c r="F33" s="84"/>
      <c r="G33" s="80"/>
      <c r="H33" s="23"/>
      <c r="I33" s="79"/>
      <c r="J33" s="23"/>
      <c r="K33" s="58"/>
      <c r="L33" s="23"/>
      <c r="M33" s="34"/>
      <c r="N33" s="35"/>
      <c r="O33" s="77"/>
      <c r="P33" s="77"/>
      <c r="Q33" s="602"/>
      <c r="R33" s="603"/>
      <c r="S33" s="604"/>
    </row>
    <row r="34" spans="1:19" x14ac:dyDescent="0.25">
      <c r="A34" s="599"/>
      <c r="B34" s="600"/>
      <c r="C34" s="601"/>
      <c r="D34" s="25"/>
      <c r="E34" s="79"/>
      <c r="F34" s="84"/>
      <c r="G34" s="80"/>
      <c r="H34" s="23"/>
      <c r="I34" s="79"/>
      <c r="J34" s="23"/>
      <c r="K34" s="58"/>
      <c r="L34" s="24"/>
      <c r="M34" s="34"/>
      <c r="N34" s="35"/>
      <c r="O34" s="77"/>
      <c r="P34" s="77"/>
      <c r="Q34" s="602"/>
      <c r="R34" s="603"/>
      <c r="S34" s="604"/>
    </row>
    <row r="35" spans="1:19" x14ac:dyDescent="0.25">
      <c r="A35" s="599"/>
      <c r="B35" s="600"/>
      <c r="C35" s="601"/>
      <c r="D35" s="25"/>
      <c r="E35" s="79"/>
      <c r="F35" s="84"/>
      <c r="G35" s="80"/>
      <c r="H35" s="23"/>
      <c r="I35" s="79"/>
      <c r="J35" s="23"/>
      <c r="K35" s="60"/>
      <c r="L35" s="23"/>
      <c r="M35" s="32"/>
      <c r="N35" s="33"/>
      <c r="O35" s="77"/>
      <c r="P35" s="77"/>
      <c r="Q35" s="602"/>
      <c r="R35" s="603"/>
      <c r="S35" s="604"/>
    </row>
    <row r="36" spans="1:19" x14ac:dyDescent="0.25">
      <c r="A36" s="599"/>
      <c r="B36" s="600"/>
      <c r="C36" s="601"/>
      <c r="D36" s="25"/>
      <c r="E36" s="79"/>
      <c r="F36" s="84"/>
      <c r="G36" s="80"/>
      <c r="H36" s="23"/>
      <c r="I36" s="79"/>
      <c r="J36" s="23"/>
      <c r="K36" s="58"/>
      <c r="L36" s="23"/>
      <c r="M36" s="34"/>
      <c r="N36" s="35"/>
      <c r="O36" s="77"/>
      <c r="P36" s="77"/>
      <c r="Q36" s="602"/>
      <c r="R36" s="603"/>
      <c r="S36" s="604"/>
    </row>
    <row r="37" spans="1:19" x14ac:dyDescent="0.25">
      <c r="A37" s="612"/>
      <c r="B37" s="613"/>
      <c r="C37" s="614"/>
      <c r="D37" s="25"/>
      <c r="E37" s="79"/>
      <c r="F37" s="84"/>
      <c r="G37" s="80"/>
      <c r="H37" s="23"/>
      <c r="I37" s="79"/>
      <c r="J37" s="23"/>
      <c r="K37" s="58"/>
      <c r="L37" s="23"/>
      <c r="M37" s="34"/>
      <c r="N37" s="35"/>
      <c r="O37" s="77"/>
      <c r="P37" s="77"/>
      <c r="Q37" s="602"/>
      <c r="R37" s="603"/>
      <c r="S37" s="604"/>
    </row>
    <row r="38" spans="1:19" x14ac:dyDescent="0.25">
      <c r="A38" s="609"/>
      <c r="B38" s="610"/>
      <c r="C38" s="611"/>
      <c r="D38" s="25"/>
      <c r="E38" s="79"/>
      <c r="F38" s="84"/>
      <c r="G38" s="80"/>
      <c r="H38" s="23"/>
      <c r="I38" s="79"/>
      <c r="J38" s="23"/>
      <c r="K38" s="58"/>
      <c r="L38" s="23"/>
      <c r="M38" s="34"/>
      <c r="N38" s="35"/>
      <c r="O38" s="77"/>
      <c r="P38" s="77"/>
      <c r="Q38" s="602"/>
      <c r="R38" s="603"/>
      <c r="S38" s="604"/>
    </row>
    <row r="39" spans="1:19" x14ac:dyDescent="0.25">
      <c r="A39" s="599"/>
      <c r="B39" s="600"/>
      <c r="C39" s="601"/>
      <c r="D39" s="25"/>
      <c r="E39" s="79"/>
      <c r="F39" s="84"/>
      <c r="G39" s="80"/>
      <c r="H39" s="23"/>
      <c r="I39" s="27"/>
      <c r="J39" s="23"/>
      <c r="K39" s="58"/>
      <c r="L39" s="23"/>
      <c r="M39" s="34"/>
      <c r="N39" s="35"/>
      <c r="O39" s="77"/>
      <c r="P39" s="77"/>
      <c r="Q39" s="602"/>
      <c r="R39" s="603"/>
      <c r="S39" s="604"/>
    </row>
    <row r="40" spans="1:19" x14ac:dyDescent="0.25">
      <c r="A40" s="599"/>
      <c r="B40" s="600"/>
      <c r="C40" s="601"/>
      <c r="D40" s="25"/>
      <c r="E40" s="79"/>
      <c r="F40" s="84"/>
      <c r="G40" s="80"/>
      <c r="H40" s="23"/>
      <c r="I40" s="79"/>
      <c r="J40" s="23"/>
      <c r="K40" s="58"/>
      <c r="L40" s="23"/>
      <c r="M40" s="34"/>
      <c r="N40" s="35"/>
      <c r="O40" s="77"/>
      <c r="P40" s="77"/>
      <c r="Q40" s="602"/>
      <c r="R40" s="603"/>
      <c r="S40" s="604"/>
    </row>
    <row r="41" spans="1:19" x14ac:dyDescent="0.25">
      <c r="A41" s="609"/>
      <c r="B41" s="610"/>
      <c r="C41" s="611"/>
      <c r="D41" s="25"/>
      <c r="E41" s="79"/>
      <c r="F41" s="84"/>
      <c r="G41" s="80"/>
      <c r="H41" s="23"/>
      <c r="I41" s="79"/>
      <c r="J41" s="23"/>
      <c r="K41" s="58"/>
      <c r="L41" s="23"/>
      <c r="M41" s="34"/>
      <c r="N41" s="35"/>
      <c r="O41" s="77"/>
      <c r="P41" s="77"/>
      <c r="Q41" s="602"/>
      <c r="R41" s="603"/>
      <c r="S41" s="604"/>
    </row>
    <row r="42" spans="1:19" x14ac:dyDescent="0.25">
      <c r="A42" s="599"/>
      <c r="B42" s="600"/>
      <c r="C42" s="601"/>
      <c r="D42" s="25"/>
      <c r="E42" s="79"/>
      <c r="F42" s="84"/>
      <c r="G42" s="80"/>
      <c r="H42" s="23"/>
      <c r="I42" s="27"/>
      <c r="J42" s="23"/>
      <c r="K42" s="58"/>
      <c r="L42" s="23"/>
      <c r="M42" s="34"/>
      <c r="N42" s="35"/>
      <c r="O42" s="77"/>
      <c r="P42" s="77"/>
      <c r="Q42" s="602"/>
      <c r="R42" s="603"/>
      <c r="S42" s="604"/>
    </row>
    <row r="43" spans="1:19" x14ac:dyDescent="0.25">
      <c r="A43" s="599"/>
      <c r="B43" s="600"/>
      <c r="C43" s="601"/>
      <c r="D43" s="25"/>
      <c r="E43" s="79"/>
      <c r="F43" s="84"/>
      <c r="G43" s="80"/>
      <c r="H43" s="23"/>
      <c r="I43" s="27"/>
      <c r="J43" s="23"/>
      <c r="K43" s="58"/>
      <c r="L43" s="23"/>
      <c r="M43" s="34"/>
      <c r="N43" s="35"/>
      <c r="O43" s="77"/>
      <c r="P43" s="77"/>
      <c r="Q43" s="602"/>
      <c r="R43" s="603"/>
      <c r="S43" s="604"/>
    </row>
    <row r="44" spans="1:19" x14ac:dyDescent="0.25">
      <c r="A44" s="599"/>
      <c r="B44" s="600"/>
      <c r="C44" s="601"/>
      <c r="D44" s="25"/>
      <c r="E44" s="79"/>
      <c r="F44" s="84"/>
      <c r="G44" s="80"/>
      <c r="H44" s="23"/>
      <c r="I44" s="27"/>
      <c r="J44" s="23"/>
      <c r="K44" s="58"/>
      <c r="L44" s="23"/>
      <c r="M44" s="34"/>
      <c r="N44" s="35"/>
      <c r="O44" s="77"/>
      <c r="P44" s="77"/>
      <c r="Q44" s="602"/>
      <c r="R44" s="603"/>
      <c r="S44" s="604"/>
    </row>
    <row r="45" spans="1:19" x14ac:dyDescent="0.25">
      <c r="A45" s="609"/>
      <c r="B45" s="610"/>
      <c r="C45" s="611"/>
      <c r="D45" s="25"/>
      <c r="E45" s="79"/>
      <c r="F45" s="84"/>
      <c r="G45" s="80"/>
      <c r="H45" s="23"/>
      <c r="I45" s="79"/>
      <c r="J45" s="23"/>
      <c r="K45" s="58"/>
      <c r="L45" s="23"/>
      <c r="M45" s="34"/>
      <c r="N45" s="35"/>
      <c r="O45" s="77"/>
      <c r="P45" s="77"/>
      <c r="Q45" s="602"/>
      <c r="R45" s="603"/>
      <c r="S45" s="604"/>
    </row>
    <row r="46" spans="1:19" x14ac:dyDescent="0.25">
      <c r="A46" s="599"/>
      <c r="B46" s="600"/>
      <c r="C46" s="601"/>
      <c r="D46" s="25"/>
      <c r="E46" s="79"/>
      <c r="F46" s="84"/>
      <c r="G46" s="80"/>
      <c r="H46" s="23"/>
      <c r="I46" s="27"/>
      <c r="J46" s="24"/>
      <c r="K46" s="58"/>
      <c r="L46" s="23"/>
      <c r="M46" s="34"/>
      <c r="N46" s="35"/>
      <c r="O46" s="77"/>
      <c r="P46" s="77"/>
      <c r="Q46" s="602"/>
      <c r="R46" s="603"/>
      <c r="S46" s="604"/>
    </row>
    <row r="47" spans="1:19" x14ac:dyDescent="0.25">
      <c r="A47" s="599"/>
      <c r="B47" s="600"/>
      <c r="C47" s="601"/>
      <c r="D47" s="25"/>
      <c r="E47" s="79"/>
      <c r="F47" s="84"/>
      <c r="G47" s="80"/>
      <c r="H47" s="23"/>
      <c r="I47" s="27"/>
      <c r="J47" s="23"/>
      <c r="K47" s="58"/>
      <c r="L47" s="23"/>
      <c r="M47" s="34"/>
      <c r="N47" s="35"/>
      <c r="O47" s="77"/>
      <c r="P47" s="77"/>
      <c r="Q47" s="602"/>
      <c r="R47" s="603"/>
      <c r="S47" s="604"/>
    </row>
    <row r="48" spans="1:19" x14ac:dyDescent="0.25">
      <c r="A48" s="599"/>
      <c r="B48" s="600"/>
      <c r="C48" s="601"/>
      <c r="D48" s="25"/>
      <c r="E48" s="79"/>
      <c r="F48" s="84"/>
      <c r="G48" s="80"/>
      <c r="H48" s="23"/>
      <c r="I48" s="27"/>
      <c r="J48" s="23"/>
      <c r="K48" s="58"/>
      <c r="L48" s="23"/>
      <c r="M48" s="34"/>
      <c r="N48" s="35"/>
      <c r="O48" s="77"/>
      <c r="P48" s="77"/>
      <c r="Q48" s="602"/>
      <c r="R48" s="603"/>
      <c r="S48" s="604"/>
    </row>
    <row r="49" spans="1:19" x14ac:dyDescent="0.25">
      <c r="A49" s="599"/>
      <c r="B49" s="600"/>
      <c r="C49" s="601"/>
      <c r="D49" s="25"/>
      <c r="E49" s="79"/>
      <c r="F49" s="84"/>
      <c r="G49" s="80"/>
      <c r="H49" s="23"/>
      <c r="I49" s="27"/>
      <c r="J49" s="23"/>
      <c r="K49" s="58"/>
      <c r="L49" s="23"/>
      <c r="M49" s="34"/>
      <c r="N49" s="35"/>
      <c r="O49" s="77"/>
      <c r="P49" s="77"/>
      <c r="Q49" s="602"/>
      <c r="R49" s="603"/>
      <c r="S49" s="604"/>
    </row>
    <row r="50" spans="1:19" x14ac:dyDescent="0.25">
      <c r="A50" s="599"/>
      <c r="B50" s="600"/>
      <c r="C50" s="601"/>
      <c r="D50" s="25"/>
      <c r="E50" s="79"/>
      <c r="F50" s="84"/>
      <c r="G50" s="81"/>
      <c r="H50" s="23"/>
      <c r="I50" s="27"/>
      <c r="J50" s="23"/>
      <c r="K50" s="58"/>
      <c r="L50" s="23"/>
      <c r="M50" s="34"/>
      <c r="N50" s="35"/>
      <c r="O50" s="77"/>
      <c r="P50" s="77"/>
      <c r="Q50" s="602"/>
      <c r="R50" s="603"/>
      <c r="S50" s="604"/>
    </row>
    <row r="51" spans="1:19" x14ac:dyDescent="0.25">
      <c r="A51" s="609"/>
      <c r="B51" s="610"/>
      <c r="C51" s="611"/>
      <c r="D51" s="25"/>
      <c r="E51" s="79"/>
      <c r="F51" s="84"/>
      <c r="G51" s="80"/>
      <c r="H51" s="23"/>
      <c r="I51" s="79"/>
      <c r="J51" s="23"/>
      <c r="K51" s="58"/>
      <c r="L51" s="23"/>
      <c r="M51" s="34"/>
      <c r="N51" s="35"/>
      <c r="O51" s="77"/>
      <c r="P51" s="77"/>
      <c r="Q51" s="602"/>
      <c r="R51" s="603"/>
      <c r="S51" s="604"/>
    </row>
    <row r="52" spans="1:19" x14ac:dyDescent="0.25">
      <c r="A52" s="599"/>
      <c r="B52" s="600"/>
      <c r="C52" s="601"/>
      <c r="D52" s="25"/>
      <c r="E52" s="79"/>
      <c r="F52" s="84"/>
      <c r="G52" s="80"/>
      <c r="H52" s="23"/>
      <c r="I52" s="79"/>
      <c r="J52" s="23"/>
      <c r="K52" s="58"/>
      <c r="L52" s="23"/>
      <c r="M52" s="34"/>
      <c r="N52" s="35"/>
      <c r="O52" s="77"/>
      <c r="P52" s="77"/>
      <c r="Q52" s="602"/>
      <c r="R52" s="603"/>
      <c r="S52" s="604"/>
    </row>
    <row r="53" spans="1:19" x14ac:dyDescent="0.25">
      <c r="A53" s="599"/>
      <c r="B53" s="600"/>
      <c r="C53" s="601"/>
      <c r="D53" s="25"/>
      <c r="E53" s="79"/>
      <c r="F53" s="84"/>
      <c r="G53" s="80"/>
      <c r="H53" s="23"/>
      <c r="I53" s="79"/>
      <c r="J53" s="23"/>
      <c r="K53" s="61"/>
      <c r="L53" s="24"/>
      <c r="M53" s="34"/>
      <c r="N53" s="35"/>
      <c r="O53" s="77"/>
      <c r="P53" s="77"/>
      <c r="Q53" s="602"/>
      <c r="R53" s="603"/>
      <c r="S53" s="604"/>
    </row>
    <row r="54" spans="1:19" x14ac:dyDescent="0.25">
      <c r="A54" s="599"/>
      <c r="B54" s="600"/>
      <c r="C54" s="601"/>
      <c r="D54" s="25"/>
      <c r="E54" s="79"/>
      <c r="F54" s="84"/>
      <c r="G54" s="80"/>
      <c r="H54" s="23"/>
      <c r="I54" s="79"/>
      <c r="J54" s="23"/>
      <c r="K54" s="60"/>
      <c r="L54" s="23"/>
      <c r="M54" s="32"/>
      <c r="N54" s="33"/>
      <c r="O54" s="77"/>
      <c r="P54" s="77"/>
      <c r="Q54" s="602"/>
      <c r="R54" s="603"/>
      <c r="S54" s="604"/>
    </row>
    <row r="55" spans="1:19" x14ac:dyDescent="0.25">
      <c r="A55" s="599"/>
      <c r="B55" s="600"/>
      <c r="C55" s="601"/>
      <c r="D55" s="25"/>
      <c r="E55" s="79"/>
      <c r="F55" s="84"/>
      <c r="G55" s="80"/>
      <c r="H55" s="23"/>
      <c r="I55" s="79"/>
      <c r="J55" s="23"/>
      <c r="K55" s="58"/>
      <c r="L55" s="23"/>
      <c r="M55" s="34"/>
      <c r="N55" s="35"/>
      <c r="O55" s="77"/>
      <c r="P55" s="77"/>
      <c r="Q55" s="602"/>
      <c r="R55" s="603"/>
      <c r="S55" s="604"/>
    </row>
    <row r="56" spans="1:19" x14ac:dyDescent="0.25">
      <c r="A56" s="612"/>
      <c r="B56" s="613"/>
      <c r="C56" s="614"/>
      <c r="D56" s="25"/>
      <c r="E56" s="79"/>
      <c r="F56" s="84"/>
      <c r="G56" s="80"/>
      <c r="H56" s="23"/>
      <c r="I56" s="79"/>
      <c r="J56" s="23"/>
      <c r="K56" s="58"/>
      <c r="L56" s="23"/>
      <c r="M56" s="34"/>
      <c r="N56" s="35"/>
      <c r="O56" s="77"/>
      <c r="P56" s="77"/>
      <c r="Q56" s="602"/>
      <c r="R56" s="603"/>
      <c r="S56" s="604"/>
    </row>
    <row r="57" spans="1:19" x14ac:dyDescent="0.25">
      <c r="A57" s="599"/>
      <c r="B57" s="600"/>
      <c r="C57" s="601"/>
      <c r="D57" s="22"/>
      <c r="E57" s="79"/>
      <c r="F57" s="84"/>
      <c r="G57" s="80"/>
      <c r="H57" s="23"/>
      <c r="I57" s="79"/>
      <c r="J57" s="24"/>
      <c r="K57" s="58"/>
      <c r="L57" s="23"/>
      <c r="M57" s="34"/>
      <c r="N57" s="35"/>
      <c r="O57" s="77"/>
      <c r="P57" s="77"/>
      <c r="Q57" s="602"/>
      <c r="R57" s="603"/>
      <c r="S57" s="604"/>
    </row>
    <row r="58" spans="1:19" x14ac:dyDescent="0.25">
      <c r="A58" s="599"/>
      <c r="B58" s="600"/>
      <c r="C58" s="601"/>
      <c r="D58" s="25"/>
      <c r="E58" s="79"/>
      <c r="F58" s="84"/>
      <c r="G58" s="80"/>
      <c r="H58" s="23"/>
      <c r="I58" s="27"/>
      <c r="J58" s="23"/>
      <c r="K58" s="58"/>
      <c r="L58" s="23"/>
      <c r="M58" s="34"/>
      <c r="N58" s="35"/>
      <c r="O58" s="77"/>
      <c r="P58" s="77"/>
      <c r="Q58" s="602"/>
      <c r="R58" s="603"/>
      <c r="S58" s="604"/>
    </row>
    <row r="59" spans="1:19" x14ac:dyDescent="0.25">
      <c r="A59" s="599"/>
      <c r="B59" s="600"/>
      <c r="C59" s="601"/>
      <c r="D59" s="25"/>
      <c r="E59" s="79"/>
      <c r="F59" s="84"/>
      <c r="G59" s="80"/>
      <c r="H59" s="23"/>
      <c r="I59" s="79"/>
      <c r="J59" s="23"/>
      <c r="K59" s="61"/>
      <c r="L59" s="24"/>
      <c r="M59" s="34"/>
      <c r="N59" s="35"/>
      <c r="O59" s="77"/>
      <c r="P59" s="77"/>
      <c r="Q59" s="602"/>
      <c r="R59" s="603"/>
      <c r="S59" s="604"/>
    </row>
    <row r="60" spans="1:19" x14ac:dyDescent="0.25">
      <c r="A60" s="625"/>
      <c r="B60" s="625"/>
      <c r="C60" s="615"/>
      <c r="D60" s="68"/>
      <c r="E60" s="58"/>
      <c r="F60" s="84"/>
      <c r="G60" s="84"/>
      <c r="H60" s="82"/>
      <c r="I60" s="58"/>
      <c r="J60" s="82"/>
      <c r="K60" s="60"/>
      <c r="L60" s="82"/>
      <c r="M60" s="67"/>
      <c r="N60" s="65"/>
      <c r="O60" s="66"/>
      <c r="P60" s="573"/>
      <c r="Q60" s="602"/>
      <c r="R60" s="603"/>
      <c r="S60" s="604"/>
    </row>
    <row r="61" spans="1:19" x14ac:dyDescent="0.25">
      <c r="A61" s="622"/>
      <c r="B61" s="623"/>
      <c r="C61" s="624"/>
      <c r="D61" s="63"/>
      <c r="E61" s="75"/>
      <c r="F61" s="39"/>
      <c r="G61" s="76"/>
      <c r="H61" s="40"/>
      <c r="I61" s="75"/>
      <c r="J61" s="40"/>
      <c r="K61" s="64"/>
      <c r="L61" s="40"/>
      <c r="M61" s="75"/>
      <c r="N61" s="40"/>
      <c r="O61" s="83"/>
      <c r="P61" s="83"/>
      <c r="Q61" s="602"/>
      <c r="R61" s="603"/>
      <c r="S61" s="604"/>
    </row>
    <row r="62" spans="1:19" x14ac:dyDescent="0.25">
      <c r="A62" s="599"/>
      <c r="B62" s="600"/>
      <c r="C62" s="601"/>
      <c r="D62" s="25"/>
      <c r="E62" s="79"/>
      <c r="F62" s="84"/>
      <c r="G62" s="80"/>
      <c r="H62" s="23"/>
      <c r="I62" s="79"/>
      <c r="J62" s="23"/>
      <c r="K62" s="58"/>
      <c r="L62" s="23"/>
      <c r="M62" s="79"/>
      <c r="N62" s="23"/>
      <c r="O62" s="77"/>
      <c r="P62" s="77"/>
      <c r="Q62" s="602"/>
      <c r="R62" s="603"/>
      <c r="S62" s="604"/>
    </row>
    <row r="63" spans="1:19" x14ac:dyDescent="0.25">
      <c r="A63" s="599"/>
      <c r="B63" s="600"/>
      <c r="C63" s="601"/>
      <c r="D63" s="25"/>
      <c r="E63" s="79"/>
      <c r="F63" s="84"/>
      <c r="G63" s="80"/>
      <c r="H63" s="23"/>
      <c r="I63" s="79"/>
      <c r="J63" s="23"/>
      <c r="K63" s="58"/>
      <c r="L63" s="23"/>
      <c r="M63" s="79"/>
      <c r="N63" s="23"/>
      <c r="O63" s="77"/>
      <c r="P63" s="77"/>
      <c r="Q63" s="602"/>
      <c r="R63" s="603"/>
      <c r="S63" s="604"/>
    </row>
    <row r="64" spans="1:19" x14ac:dyDescent="0.25">
      <c r="A64" s="599"/>
      <c r="B64" s="600"/>
      <c r="C64" s="601"/>
      <c r="D64" s="25"/>
      <c r="E64" s="79"/>
      <c r="F64" s="84"/>
      <c r="G64" s="80"/>
      <c r="H64" s="23"/>
      <c r="I64" s="79"/>
      <c r="J64" s="23"/>
      <c r="K64" s="58"/>
      <c r="L64" s="24"/>
      <c r="M64" s="79"/>
      <c r="N64" s="23"/>
      <c r="O64" s="77"/>
      <c r="P64" s="77"/>
      <c r="Q64" s="602"/>
      <c r="R64" s="603"/>
      <c r="S64" s="604"/>
    </row>
    <row r="65" spans="1:19" x14ac:dyDescent="0.25">
      <c r="A65" s="599"/>
      <c r="B65" s="600"/>
      <c r="C65" s="601"/>
      <c r="D65" s="25"/>
      <c r="E65" s="79"/>
      <c r="F65" s="84"/>
      <c r="G65" s="80"/>
      <c r="H65" s="23"/>
      <c r="I65" s="79"/>
      <c r="J65" s="23"/>
      <c r="K65" s="60"/>
      <c r="L65" s="23"/>
      <c r="M65" s="32"/>
      <c r="N65" s="33"/>
      <c r="O65" s="90"/>
      <c r="P65" s="559"/>
      <c r="Q65" s="602"/>
      <c r="R65" s="603"/>
      <c r="S65" s="604"/>
    </row>
    <row r="66" spans="1:19" x14ac:dyDescent="0.25">
      <c r="A66" s="599"/>
      <c r="B66" s="600"/>
      <c r="C66" s="601"/>
      <c r="D66" s="25"/>
      <c r="E66" s="79"/>
      <c r="F66" s="84"/>
      <c r="G66" s="80"/>
      <c r="H66" s="23"/>
      <c r="I66" s="79"/>
      <c r="J66" s="23"/>
      <c r="K66" s="58"/>
      <c r="L66" s="23"/>
      <c r="M66" s="34"/>
      <c r="N66" s="35"/>
      <c r="O66" s="77"/>
      <c r="P66" s="77"/>
      <c r="Q66" s="602"/>
      <c r="R66" s="603"/>
      <c r="S66" s="604"/>
    </row>
    <row r="67" spans="1:19" x14ac:dyDescent="0.25">
      <c r="A67" s="612"/>
      <c r="B67" s="613"/>
      <c r="C67" s="614"/>
      <c r="D67" s="25"/>
      <c r="E67" s="79"/>
      <c r="F67" s="84"/>
      <c r="G67" s="80"/>
      <c r="H67" s="23"/>
      <c r="I67" s="79"/>
      <c r="J67" s="23"/>
      <c r="K67" s="58"/>
      <c r="L67" s="23"/>
      <c r="M67" s="34"/>
      <c r="N67" s="35"/>
      <c r="O67" s="77"/>
      <c r="P67" s="77"/>
      <c r="Q67" s="602"/>
      <c r="R67" s="603"/>
      <c r="S67" s="604"/>
    </row>
    <row r="68" spans="1:19" x14ac:dyDescent="0.25">
      <c r="A68" s="609"/>
      <c r="B68" s="610"/>
      <c r="C68" s="611"/>
      <c r="D68" s="25"/>
      <c r="E68" s="79"/>
      <c r="F68" s="84"/>
      <c r="G68" s="80"/>
      <c r="H68" s="23"/>
      <c r="I68" s="79"/>
      <c r="J68" s="23"/>
      <c r="K68" s="58"/>
      <c r="L68" s="23"/>
      <c r="M68" s="34"/>
      <c r="N68" s="35"/>
      <c r="O68" s="77"/>
      <c r="P68" s="77"/>
      <c r="Q68" s="602"/>
      <c r="R68" s="603"/>
      <c r="S68" s="604"/>
    </row>
    <row r="69" spans="1:19" x14ac:dyDescent="0.25">
      <c r="A69" s="599"/>
      <c r="B69" s="600"/>
      <c r="C69" s="601"/>
      <c r="D69" s="22"/>
      <c r="E69" s="79"/>
      <c r="F69" s="84"/>
      <c r="G69" s="80"/>
      <c r="H69" s="23"/>
      <c r="I69" s="79"/>
      <c r="J69" s="24"/>
      <c r="K69" s="59"/>
      <c r="L69" s="24"/>
      <c r="M69" s="34"/>
      <c r="N69" s="35"/>
      <c r="O69" s="77"/>
      <c r="P69" s="77"/>
      <c r="Q69" s="602"/>
      <c r="R69" s="603"/>
      <c r="S69" s="604"/>
    </row>
    <row r="70" spans="1:19" x14ac:dyDescent="0.25">
      <c r="A70" s="599"/>
      <c r="B70" s="600"/>
      <c r="C70" s="601"/>
      <c r="D70" s="22"/>
      <c r="E70" s="79"/>
      <c r="F70" s="84"/>
      <c r="G70" s="80"/>
      <c r="H70" s="23"/>
      <c r="I70" s="79"/>
      <c r="J70" s="23"/>
      <c r="K70" s="58"/>
      <c r="L70" s="23"/>
      <c r="M70" s="34"/>
      <c r="N70" s="35"/>
      <c r="O70" s="77"/>
      <c r="P70" s="77"/>
      <c r="Q70" s="602"/>
      <c r="R70" s="603"/>
      <c r="S70" s="604"/>
    </row>
    <row r="71" spans="1:19" x14ac:dyDescent="0.25">
      <c r="A71" s="599"/>
      <c r="B71" s="600"/>
      <c r="C71" s="601"/>
      <c r="D71" s="25"/>
      <c r="E71" s="79"/>
      <c r="F71" s="84"/>
      <c r="G71" s="80"/>
      <c r="H71" s="23"/>
      <c r="I71" s="27"/>
      <c r="J71" s="23"/>
      <c r="K71" s="58"/>
      <c r="L71" s="23"/>
      <c r="M71" s="34"/>
      <c r="N71" s="35"/>
      <c r="O71" s="77"/>
      <c r="P71" s="77"/>
      <c r="Q71" s="602"/>
      <c r="R71" s="603"/>
      <c r="S71" s="604"/>
    </row>
    <row r="72" spans="1:19" x14ac:dyDescent="0.25">
      <c r="A72" s="609"/>
      <c r="B72" s="610"/>
      <c r="C72" s="611"/>
      <c r="D72" s="25"/>
      <c r="E72" s="79"/>
      <c r="F72" s="84"/>
      <c r="G72" s="80"/>
      <c r="H72" s="23"/>
      <c r="I72" s="79"/>
      <c r="J72" s="23"/>
      <c r="K72" s="58"/>
      <c r="L72" s="23"/>
      <c r="M72" s="34"/>
      <c r="N72" s="35"/>
      <c r="O72" s="77"/>
      <c r="P72" s="77"/>
      <c r="Q72" s="602"/>
      <c r="R72" s="603"/>
      <c r="S72" s="604"/>
    </row>
    <row r="73" spans="1:19" x14ac:dyDescent="0.25">
      <c r="A73" s="599"/>
      <c r="B73" s="600"/>
      <c r="C73" s="601"/>
      <c r="D73" s="25"/>
      <c r="E73" s="79"/>
      <c r="F73" s="84"/>
      <c r="G73" s="80"/>
      <c r="H73" s="23"/>
      <c r="I73" s="79"/>
      <c r="J73" s="23"/>
      <c r="K73" s="58"/>
      <c r="L73" s="23"/>
      <c r="M73" s="34"/>
      <c r="N73" s="35"/>
      <c r="O73" s="77"/>
      <c r="P73" s="77"/>
      <c r="Q73" s="602"/>
      <c r="R73" s="603"/>
      <c r="S73" s="604"/>
    </row>
    <row r="74" spans="1:19" x14ac:dyDescent="0.25">
      <c r="A74" s="599"/>
      <c r="B74" s="600"/>
      <c r="C74" s="601"/>
      <c r="D74" s="25"/>
      <c r="E74" s="79"/>
      <c r="F74" s="84"/>
      <c r="G74" s="80"/>
      <c r="H74" s="23"/>
      <c r="I74" s="79"/>
      <c r="J74" s="23"/>
      <c r="K74" s="58"/>
      <c r="L74" s="23"/>
      <c r="M74" s="34"/>
      <c r="N74" s="35"/>
      <c r="O74" s="77"/>
      <c r="P74" s="77"/>
      <c r="Q74" s="602"/>
      <c r="R74" s="603"/>
      <c r="S74" s="604"/>
    </row>
    <row r="75" spans="1:19" x14ac:dyDescent="0.25">
      <c r="A75" s="599"/>
      <c r="B75" s="600"/>
      <c r="C75" s="601"/>
      <c r="D75" s="25"/>
      <c r="E75" s="79"/>
      <c r="F75" s="84"/>
      <c r="G75" s="80"/>
      <c r="H75" s="23"/>
      <c r="I75" s="79"/>
      <c r="J75" s="23"/>
      <c r="K75" s="58"/>
      <c r="L75" s="23"/>
      <c r="M75" s="34"/>
      <c r="N75" s="35"/>
      <c r="O75" s="77"/>
      <c r="P75" s="77"/>
      <c r="Q75" s="602"/>
      <c r="R75" s="603"/>
      <c r="S75" s="604"/>
    </row>
    <row r="76" spans="1:19" x14ac:dyDescent="0.25">
      <c r="A76" s="599"/>
      <c r="B76" s="600"/>
      <c r="C76" s="601"/>
      <c r="D76" s="25"/>
      <c r="E76" s="79"/>
      <c r="F76" s="84"/>
      <c r="G76" s="80"/>
      <c r="H76" s="23"/>
      <c r="I76" s="27"/>
      <c r="J76" s="23"/>
      <c r="K76" s="58"/>
      <c r="L76" s="23"/>
      <c r="M76" s="34"/>
      <c r="N76" s="35"/>
      <c r="O76" s="77"/>
      <c r="P76" s="77"/>
      <c r="Q76" s="602"/>
      <c r="R76" s="603"/>
      <c r="S76" s="604"/>
    </row>
    <row r="77" spans="1:19" x14ac:dyDescent="0.25">
      <c r="A77" s="616"/>
      <c r="B77" s="617"/>
      <c r="C77" s="618"/>
      <c r="D77" s="25"/>
      <c r="E77" s="79"/>
      <c r="F77" s="84"/>
      <c r="G77" s="80"/>
      <c r="H77" s="23"/>
      <c r="I77" s="79"/>
      <c r="J77" s="23"/>
      <c r="K77" s="58"/>
      <c r="L77" s="23"/>
      <c r="M77" s="34"/>
      <c r="N77" s="35"/>
      <c r="O77" s="77"/>
      <c r="P77" s="77"/>
      <c r="Q77" s="602"/>
      <c r="R77" s="603"/>
      <c r="S77" s="604"/>
    </row>
    <row r="78" spans="1:19" x14ac:dyDescent="0.25">
      <c r="A78" s="626"/>
      <c r="B78" s="627"/>
      <c r="C78" s="628"/>
      <c r="D78" s="25"/>
      <c r="E78" s="79"/>
      <c r="F78" s="84"/>
      <c r="G78" s="80"/>
      <c r="H78" s="23"/>
      <c r="I78" s="79"/>
      <c r="J78" s="23"/>
      <c r="K78" s="58"/>
      <c r="L78" s="23"/>
      <c r="M78" s="34"/>
      <c r="N78" s="35"/>
      <c r="O78" s="77"/>
      <c r="P78" s="77"/>
      <c r="Q78" s="602"/>
      <c r="R78" s="603"/>
      <c r="S78" s="604"/>
    </row>
    <row r="79" spans="1:19" x14ac:dyDescent="0.25">
      <c r="A79" s="626"/>
      <c r="B79" s="627"/>
      <c r="C79" s="628"/>
      <c r="D79" s="25"/>
      <c r="E79" s="79"/>
      <c r="F79" s="84"/>
      <c r="G79" s="80"/>
      <c r="H79" s="23"/>
      <c r="I79" s="79"/>
      <c r="J79" s="23"/>
      <c r="K79" s="58"/>
      <c r="L79" s="23"/>
      <c r="M79" s="34"/>
      <c r="N79" s="35"/>
      <c r="O79" s="77"/>
      <c r="P79" s="77"/>
      <c r="Q79" s="602"/>
      <c r="R79" s="603"/>
      <c r="S79" s="604"/>
    </row>
    <row r="80" spans="1:19" x14ac:dyDescent="0.25">
      <c r="A80" s="626"/>
      <c r="B80" s="627"/>
      <c r="C80" s="628"/>
      <c r="D80" s="25"/>
      <c r="E80" s="79"/>
      <c r="F80" s="84"/>
      <c r="G80" s="80"/>
      <c r="H80" s="23"/>
      <c r="I80" s="79"/>
      <c r="J80" s="23"/>
      <c r="K80" s="58"/>
      <c r="L80" s="23"/>
      <c r="M80" s="34"/>
      <c r="N80" s="35"/>
      <c r="O80" s="77"/>
      <c r="P80" s="77"/>
      <c r="Q80" s="602"/>
      <c r="R80" s="603"/>
      <c r="S80" s="604"/>
    </row>
    <row r="81" spans="1:19" x14ac:dyDescent="0.25">
      <c r="A81" s="626"/>
      <c r="B81" s="627"/>
      <c r="C81" s="628"/>
      <c r="D81" s="25"/>
      <c r="E81" s="79"/>
      <c r="F81" s="84"/>
      <c r="G81" s="80"/>
      <c r="H81" s="23"/>
      <c r="I81" s="79"/>
      <c r="J81" s="23"/>
      <c r="K81" s="58"/>
      <c r="L81" s="23"/>
      <c r="M81" s="34"/>
      <c r="N81" s="35"/>
      <c r="O81" s="77"/>
      <c r="P81" s="77"/>
      <c r="Q81" s="602"/>
      <c r="R81" s="603"/>
      <c r="S81" s="604"/>
    </row>
    <row r="82" spans="1:19" x14ac:dyDescent="0.25">
      <c r="A82" s="622"/>
      <c r="B82" s="623"/>
      <c r="C82" s="624"/>
      <c r="D82" s="25"/>
      <c r="E82" s="79"/>
      <c r="F82" s="84"/>
      <c r="G82" s="80"/>
      <c r="H82" s="23"/>
      <c r="I82" s="79"/>
      <c r="J82" s="23"/>
      <c r="K82" s="58"/>
      <c r="L82" s="23"/>
      <c r="M82" s="34"/>
      <c r="N82" s="35"/>
      <c r="O82" s="77"/>
      <c r="P82" s="77"/>
      <c r="Q82" s="602"/>
      <c r="R82" s="603"/>
      <c r="S82" s="604"/>
    </row>
    <row r="83" spans="1:19" x14ac:dyDescent="0.25">
      <c r="A83" s="609"/>
      <c r="B83" s="610"/>
      <c r="C83" s="611"/>
      <c r="D83" s="25"/>
      <c r="E83" s="79"/>
      <c r="F83" s="84"/>
      <c r="G83" s="80"/>
      <c r="H83" s="23"/>
      <c r="I83" s="79"/>
      <c r="J83" s="23"/>
      <c r="K83" s="58"/>
      <c r="L83" s="23"/>
      <c r="M83" s="34"/>
      <c r="N83" s="35"/>
      <c r="O83" s="77"/>
      <c r="P83" s="77"/>
      <c r="Q83" s="602"/>
      <c r="R83" s="603"/>
      <c r="S83" s="604"/>
    </row>
    <row r="84" spans="1:19" x14ac:dyDescent="0.25">
      <c r="A84" s="599"/>
      <c r="B84" s="600"/>
      <c r="C84" s="601"/>
      <c r="D84" s="22"/>
      <c r="E84" s="79"/>
      <c r="F84" s="84"/>
      <c r="G84" s="80"/>
      <c r="H84" s="23"/>
      <c r="I84" s="79"/>
      <c r="J84" s="23"/>
      <c r="K84" s="58"/>
      <c r="L84" s="23"/>
      <c r="M84" s="34"/>
      <c r="N84" s="35"/>
      <c r="O84" s="77"/>
      <c r="P84" s="77"/>
      <c r="Q84" s="602"/>
      <c r="R84" s="603"/>
      <c r="S84" s="604"/>
    </row>
    <row r="85" spans="1:19" x14ac:dyDescent="0.25">
      <c r="A85" s="599"/>
      <c r="B85" s="600"/>
      <c r="C85" s="601"/>
      <c r="D85" s="25"/>
      <c r="E85" s="79"/>
      <c r="F85" s="84"/>
      <c r="G85" s="80"/>
      <c r="H85" s="23"/>
      <c r="I85" s="79"/>
      <c r="J85" s="23"/>
      <c r="K85" s="58"/>
      <c r="L85" s="24"/>
      <c r="M85" s="34"/>
      <c r="N85" s="35"/>
      <c r="O85" s="77"/>
      <c r="P85" s="77"/>
      <c r="Q85" s="602"/>
      <c r="R85" s="603"/>
      <c r="S85" s="604"/>
    </row>
    <row r="86" spans="1:19" x14ac:dyDescent="0.25">
      <c r="A86" s="599"/>
      <c r="B86" s="600"/>
      <c r="C86" s="601"/>
      <c r="D86" s="25"/>
      <c r="E86" s="79"/>
      <c r="F86" s="84"/>
      <c r="G86" s="80"/>
      <c r="H86" s="23"/>
      <c r="I86" s="79"/>
      <c r="J86" s="23"/>
      <c r="K86" s="60"/>
      <c r="L86" s="23"/>
      <c r="M86" s="32"/>
      <c r="N86" s="33"/>
      <c r="O86" s="77"/>
      <c r="P86" s="77"/>
      <c r="Q86" s="602"/>
      <c r="R86" s="603"/>
      <c r="S86" s="604"/>
    </row>
    <row r="87" spans="1:19" x14ac:dyDescent="0.25">
      <c r="A87" s="599"/>
      <c r="B87" s="600"/>
      <c r="C87" s="601"/>
      <c r="D87" s="25"/>
      <c r="E87" s="79"/>
      <c r="F87" s="84"/>
      <c r="G87" s="80"/>
      <c r="H87" s="23"/>
      <c r="I87" s="79"/>
      <c r="J87" s="23"/>
      <c r="K87" s="58"/>
      <c r="L87" s="23"/>
      <c r="M87" s="34"/>
      <c r="N87" s="35"/>
      <c r="O87" s="77"/>
      <c r="P87" s="77"/>
      <c r="Q87" s="602"/>
      <c r="R87" s="603"/>
      <c r="S87" s="604"/>
    </row>
    <row r="88" spans="1:19" x14ac:dyDescent="0.25">
      <c r="A88" s="612"/>
      <c r="B88" s="613"/>
      <c r="C88" s="614"/>
      <c r="D88" s="25"/>
      <c r="E88" s="79"/>
      <c r="F88" s="84"/>
      <c r="G88" s="80"/>
      <c r="H88" s="23"/>
      <c r="I88" s="79"/>
      <c r="J88" s="23"/>
      <c r="K88" s="58"/>
      <c r="L88" s="23"/>
      <c r="M88" s="34"/>
      <c r="N88" s="35"/>
      <c r="O88" s="77"/>
      <c r="P88" s="77"/>
      <c r="Q88" s="602"/>
      <c r="R88" s="603"/>
      <c r="S88" s="604"/>
    </row>
    <row r="89" spans="1:19" x14ac:dyDescent="0.25">
      <c r="A89" s="609"/>
      <c r="B89" s="610"/>
      <c r="C89" s="611"/>
      <c r="D89" s="25"/>
      <c r="E89" s="79"/>
      <c r="F89" s="84"/>
      <c r="G89" s="80"/>
      <c r="H89" s="23"/>
      <c r="I89" s="79"/>
      <c r="J89" s="23"/>
      <c r="K89" s="58"/>
      <c r="L89" s="23"/>
      <c r="M89" s="34"/>
      <c r="N89" s="35"/>
      <c r="O89" s="77"/>
      <c r="P89" s="77"/>
      <c r="Q89" s="602"/>
      <c r="R89" s="603"/>
      <c r="S89" s="604"/>
    </row>
    <row r="90" spans="1:19" x14ac:dyDescent="0.25">
      <c r="A90" s="599"/>
      <c r="B90" s="600"/>
      <c r="C90" s="601"/>
      <c r="D90" s="25"/>
      <c r="E90" s="79"/>
      <c r="F90" s="84"/>
      <c r="G90" s="80"/>
      <c r="H90" s="23"/>
      <c r="I90" s="27"/>
      <c r="J90" s="23"/>
      <c r="K90" s="58"/>
      <c r="L90" s="23"/>
      <c r="M90" s="34"/>
      <c r="N90" s="35"/>
      <c r="O90" s="77"/>
      <c r="P90" s="77"/>
      <c r="Q90" s="602"/>
      <c r="R90" s="603"/>
      <c r="S90" s="604"/>
    </row>
    <row r="91" spans="1:19" x14ac:dyDescent="0.25">
      <c r="A91" s="599"/>
      <c r="B91" s="600"/>
      <c r="C91" s="601"/>
      <c r="D91" s="25"/>
      <c r="E91" s="79"/>
      <c r="F91" s="84"/>
      <c r="G91" s="80"/>
      <c r="H91" s="23"/>
      <c r="I91" s="79"/>
      <c r="J91" s="23"/>
      <c r="K91" s="58"/>
      <c r="L91" s="23"/>
      <c r="M91" s="34"/>
      <c r="N91" s="35"/>
      <c r="O91" s="77"/>
      <c r="P91" s="77"/>
      <c r="Q91" s="602"/>
      <c r="R91" s="603"/>
      <c r="S91" s="604"/>
    </row>
    <row r="92" spans="1:19" x14ac:dyDescent="0.25">
      <c r="A92" s="609"/>
      <c r="B92" s="610"/>
      <c r="C92" s="611"/>
      <c r="D92" s="25"/>
      <c r="E92" s="79"/>
      <c r="F92" s="84"/>
      <c r="G92" s="80"/>
      <c r="H92" s="23"/>
      <c r="I92" s="79"/>
      <c r="J92" s="23"/>
      <c r="K92" s="58"/>
      <c r="L92" s="23"/>
      <c r="M92" s="34"/>
      <c r="N92" s="35"/>
      <c r="O92" s="77"/>
      <c r="P92" s="77"/>
      <c r="Q92" s="602"/>
      <c r="R92" s="603"/>
      <c r="S92" s="604"/>
    </row>
    <row r="93" spans="1:19" x14ac:dyDescent="0.25">
      <c r="A93" s="599"/>
      <c r="B93" s="600"/>
      <c r="C93" s="601"/>
      <c r="D93" s="25"/>
      <c r="E93" s="79"/>
      <c r="F93" s="84"/>
      <c r="G93" s="80"/>
      <c r="H93" s="23"/>
      <c r="I93" s="27"/>
      <c r="J93" s="23"/>
      <c r="K93" s="58"/>
      <c r="L93" s="23"/>
      <c r="M93" s="34"/>
      <c r="N93" s="35"/>
      <c r="O93" s="77"/>
      <c r="P93" s="77"/>
      <c r="Q93" s="602"/>
      <c r="R93" s="603"/>
      <c r="S93" s="604"/>
    </row>
    <row r="94" spans="1:19" x14ac:dyDescent="0.25">
      <c r="A94" s="599"/>
      <c r="B94" s="600"/>
      <c r="C94" s="601"/>
      <c r="D94" s="25"/>
      <c r="E94" s="79"/>
      <c r="F94" s="84"/>
      <c r="G94" s="80"/>
      <c r="H94" s="23"/>
      <c r="I94" s="27"/>
      <c r="J94" s="23"/>
      <c r="K94" s="58"/>
      <c r="L94" s="23"/>
      <c r="M94" s="34"/>
      <c r="N94" s="35"/>
      <c r="O94" s="77"/>
      <c r="P94" s="77"/>
      <c r="Q94" s="602"/>
      <c r="R94" s="603"/>
      <c r="S94" s="604"/>
    </row>
    <row r="95" spans="1:19" x14ac:dyDescent="0.25">
      <c r="A95" s="599"/>
      <c r="B95" s="600"/>
      <c r="C95" s="601"/>
      <c r="D95" s="25"/>
      <c r="E95" s="79"/>
      <c r="F95" s="84"/>
      <c r="G95" s="80"/>
      <c r="H95" s="23"/>
      <c r="I95" s="27"/>
      <c r="J95" s="23"/>
      <c r="K95" s="58"/>
      <c r="L95" s="23"/>
      <c r="M95" s="34"/>
      <c r="N95" s="35"/>
      <c r="O95" s="77"/>
      <c r="P95" s="77"/>
      <c r="Q95" s="602"/>
      <c r="R95" s="603"/>
      <c r="S95" s="604"/>
    </row>
    <row r="96" spans="1:19" x14ac:dyDescent="0.25">
      <c r="A96" s="609"/>
      <c r="B96" s="610"/>
      <c r="C96" s="611"/>
      <c r="D96" s="25"/>
      <c r="E96" s="79"/>
      <c r="F96" s="84"/>
      <c r="G96" s="80"/>
      <c r="H96" s="23"/>
      <c r="I96" s="79"/>
      <c r="J96" s="23"/>
      <c r="K96" s="58"/>
      <c r="L96" s="23"/>
      <c r="M96" s="34"/>
      <c r="N96" s="35"/>
      <c r="O96" s="77"/>
      <c r="P96" s="77"/>
      <c r="Q96" s="602"/>
      <c r="R96" s="603"/>
      <c r="S96" s="604"/>
    </row>
    <row r="97" spans="1:19" x14ac:dyDescent="0.25">
      <c r="A97" s="599"/>
      <c r="B97" s="600"/>
      <c r="C97" s="601"/>
      <c r="D97" s="25"/>
      <c r="E97" s="79"/>
      <c r="F97" s="84"/>
      <c r="G97" s="80"/>
      <c r="H97" s="23"/>
      <c r="I97" s="27"/>
      <c r="J97" s="24"/>
      <c r="K97" s="58"/>
      <c r="L97" s="23"/>
      <c r="M97" s="34"/>
      <c r="N97" s="35"/>
      <c r="O97" s="77"/>
      <c r="P97" s="77"/>
      <c r="Q97" s="602"/>
      <c r="R97" s="603"/>
      <c r="S97" s="604"/>
    </row>
    <row r="98" spans="1:19" x14ac:dyDescent="0.25">
      <c r="A98" s="599"/>
      <c r="B98" s="600"/>
      <c r="C98" s="601"/>
      <c r="D98" s="25"/>
      <c r="E98" s="79"/>
      <c r="F98" s="84"/>
      <c r="G98" s="80"/>
      <c r="H98" s="23"/>
      <c r="I98" s="27"/>
      <c r="J98" s="23"/>
      <c r="K98" s="58"/>
      <c r="L98" s="23"/>
      <c r="M98" s="34"/>
      <c r="N98" s="35"/>
      <c r="O98" s="77"/>
      <c r="P98" s="77"/>
      <c r="Q98" s="602"/>
      <c r="R98" s="603"/>
      <c r="S98" s="604"/>
    </row>
    <row r="99" spans="1:19" x14ac:dyDescent="0.25">
      <c r="A99" s="599"/>
      <c r="B99" s="600"/>
      <c r="C99" s="601"/>
      <c r="D99" s="25"/>
      <c r="E99" s="79"/>
      <c r="F99" s="84"/>
      <c r="G99" s="80"/>
      <c r="H99" s="23"/>
      <c r="I99" s="27"/>
      <c r="J99" s="23"/>
      <c r="K99" s="58"/>
      <c r="L99" s="23"/>
      <c r="M99" s="34"/>
      <c r="N99" s="35"/>
      <c r="O99" s="77"/>
      <c r="P99" s="77"/>
      <c r="Q99" s="602"/>
      <c r="R99" s="603"/>
      <c r="S99" s="604"/>
    </row>
    <row r="100" spans="1:19" x14ac:dyDescent="0.25">
      <c r="A100" s="599"/>
      <c r="B100" s="600"/>
      <c r="C100" s="601"/>
      <c r="D100" s="25"/>
      <c r="E100" s="79"/>
      <c r="F100" s="84"/>
      <c r="G100" s="80"/>
      <c r="H100" s="23"/>
      <c r="I100" s="27"/>
      <c r="J100" s="23"/>
      <c r="K100" s="58"/>
      <c r="L100" s="23"/>
      <c r="M100" s="34"/>
      <c r="N100" s="35"/>
      <c r="O100" s="77"/>
      <c r="P100" s="77"/>
      <c r="Q100" s="602"/>
      <c r="R100" s="603"/>
      <c r="S100" s="604"/>
    </row>
    <row r="101" spans="1:19" x14ac:dyDescent="0.25">
      <c r="A101" s="599"/>
      <c r="B101" s="600"/>
      <c r="C101" s="601"/>
      <c r="D101" s="25"/>
      <c r="E101" s="79"/>
      <c r="F101" s="84"/>
      <c r="G101" s="81"/>
      <c r="H101" s="23"/>
      <c r="I101" s="27"/>
      <c r="J101" s="23"/>
      <c r="K101" s="58"/>
      <c r="L101" s="23"/>
      <c r="M101" s="34"/>
      <c r="N101" s="35"/>
      <c r="O101" s="77"/>
      <c r="P101" s="77"/>
      <c r="Q101" s="602"/>
      <c r="R101" s="603"/>
      <c r="S101" s="604"/>
    </row>
    <row r="102" spans="1:19" x14ac:dyDescent="0.25">
      <c r="A102" s="609"/>
      <c r="B102" s="610"/>
      <c r="C102" s="611"/>
      <c r="D102" s="25"/>
      <c r="E102" s="79"/>
      <c r="F102" s="84"/>
      <c r="G102" s="80"/>
      <c r="H102" s="23"/>
      <c r="I102" s="79"/>
      <c r="J102" s="23"/>
      <c r="K102" s="58"/>
      <c r="L102" s="23"/>
      <c r="M102" s="34"/>
      <c r="N102" s="35"/>
      <c r="O102" s="77"/>
      <c r="P102" s="77"/>
      <c r="Q102" s="602"/>
      <c r="R102" s="603"/>
      <c r="S102" s="604"/>
    </row>
    <row r="103" spans="1:19" x14ac:dyDescent="0.25">
      <c r="A103" s="599"/>
      <c r="B103" s="600"/>
      <c r="C103" s="601"/>
      <c r="D103" s="25"/>
      <c r="E103" s="79"/>
      <c r="F103" s="84"/>
      <c r="G103" s="80"/>
      <c r="H103" s="23"/>
      <c r="I103" s="79"/>
      <c r="J103" s="23"/>
      <c r="K103" s="58"/>
      <c r="L103" s="23"/>
      <c r="M103" s="34"/>
      <c r="N103" s="35"/>
      <c r="O103" s="77"/>
      <c r="P103" s="77"/>
      <c r="Q103" s="602"/>
      <c r="R103" s="603"/>
      <c r="S103" s="604"/>
    </row>
    <row r="104" spans="1:19" x14ac:dyDescent="0.25">
      <c r="A104" s="599"/>
      <c r="B104" s="600"/>
      <c r="C104" s="601"/>
      <c r="D104" s="25"/>
      <c r="E104" s="79"/>
      <c r="F104" s="84"/>
      <c r="G104" s="80"/>
      <c r="H104" s="23"/>
      <c r="I104" s="79"/>
      <c r="J104" s="23"/>
      <c r="K104" s="61"/>
      <c r="L104" s="24"/>
      <c r="M104" s="34"/>
      <c r="N104" s="35"/>
      <c r="O104" s="77"/>
      <c r="P104" s="77"/>
      <c r="Q104" s="602"/>
      <c r="R104" s="603"/>
      <c r="S104" s="604"/>
    </row>
    <row r="105" spans="1:19" x14ac:dyDescent="0.25">
      <c r="A105" s="599"/>
      <c r="B105" s="600"/>
      <c r="C105" s="601"/>
      <c r="D105" s="25"/>
      <c r="E105" s="79"/>
      <c r="F105" s="84"/>
      <c r="G105" s="80"/>
      <c r="H105" s="23"/>
      <c r="I105" s="79"/>
      <c r="J105" s="23"/>
      <c r="K105" s="60"/>
      <c r="L105" s="23"/>
      <c r="M105" s="32"/>
      <c r="N105" s="33"/>
      <c r="O105" s="77"/>
      <c r="P105" s="77"/>
      <c r="Q105" s="602"/>
      <c r="R105" s="603"/>
      <c r="S105" s="604"/>
    </row>
    <row r="106" spans="1:19" x14ac:dyDescent="0.25">
      <c r="A106" s="599"/>
      <c r="B106" s="600"/>
      <c r="C106" s="601"/>
      <c r="D106" s="25"/>
      <c r="E106" s="79"/>
      <c r="F106" s="84"/>
      <c r="G106" s="80"/>
      <c r="H106" s="23"/>
      <c r="I106" s="79"/>
      <c r="J106" s="23"/>
      <c r="K106" s="58"/>
      <c r="L106" s="23"/>
      <c r="M106" s="34"/>
      <c r="N106" s="35"/>
      <c r="O106" s="77"/>
      <c r="P106" s="77"/>
      <c r="Q106" s="602"/>
      <c r="R106" s="603"/>
      <c r="S106" s="604"/>
    </row>
    <row r="107" spans="1:19" x14ac:dyDescent="0.25">
      <c r="A107" s="612"/>
      <c r="B107" s="613"/>
      <c r="C107" s="614"/>
      <c r="D107" s="25"/>
      <c r="E107" s="79"/>
      <c r="F107" s="84"/>
      <c r="G107" s="80"/>
      <c r="H107" s="23"/>
      <c r="I107" s="79"/>
      <c r="J107" s="23"/>
      <c r="K107" s="58"/>
      <c r="L107" s="23"/>
      <c r="M107" s="34"/>
      <c r="N107" s="35"/>
      <c r="O107" s="77"/>
      <c r="P107" s="77"/>
      <c r="Q107" s="602"/>
      <c r="R107" s="603"/>
      <c r="S107" s="604"/>
    </row>
    <row r="108" spans="1:19" x14ac:dyDescent="0.25">
      <c r="A108" s="599"/>
      <c r="B108" s="600"/>
      <c r="C108" s="601"/>
      <c r="D108" s="22"/>
      <c r="E108" s="79"/>
      <c r="F108" s="84"/>
      <c r="G108" s="80"/>
      <c r="H108" s="23"/>
      <c r="I108" s="79"/>
      <c r="J108" s="24"/>
      <c r="K108" s="58"/>
      <c r="L108" s="23"/>
      <c r="M108" s="34"/>
      <c r="N108" s="35"/>
      <c r="O108" s="77"/>
      <c r="P108" s="77"/>
      <c r="Q108" s="602"/>
      <c r="R108" s="603"/>
      <c r="S108" s="604"/>
    </row>
    <row r="109" spans="1:19" x14ac:dyDescent="0.25">
      <c r="A109" s="599"/>
      <c r="B109" s="600"/>
      <c r="C109" s="601"/>
      <c r="D109" s="25"/>
      <c r="E109" s="79"/>
      <c r="F109" s="84"/>
      <c r="G109" s="80"/>
      <c r="H109" s="23"/>
      <c r="I109" s="27"/>
      <c r="J109" s="23"/>
      <c r="K109" s="58"/>
      <c r="L109" s="23"/>
      <c r="M109" s="34"/>
      <c r="N109" s="35"/>
      <c r="O109" s="77"/>
      <c r="P109" s="77"/>
      <c r="Q109" s="602"/>
      <c r="R109" s="603"/>
      <c r="S109" s="604"/>
    </row>
    <row r="110" spans="1:19" x14ac:dyDescent="0.25">
      <c r="A110" s="599"/>
      <c r="B110" s="600"/>
      <c r="C110" s="601"/>
      <c r="D110" s="25"/>
      <c r="E110" s="79"/>
      <c r="F110" s="84"/>
      <c r="G110" s="80"/>
      <c r="H110" s="23"/>
      <c r="I110" s="79"/>
      <c r="J110" s="23"/>
      <c r="K110" s="61"/>
      <c r="L110" s="24"/>
      <c r="M110" s="34"/>
      <c r="N110" s="35"/>
      <c r="O110" s="77"/>
      <c r="P110" s="77"/>
      <c r="Q110" s="602"/>
      <c r="R110" s="603"/>
      <c r="S110" s="604"/>
    </row>
    <row r="111" spans="1:19" x14ac:dyDescent="0.25">
      <c r="A111" s="629"/>
      <c r="B111" s="630"/>
      <c r="C111" s="631"/>
      <c r="D111" s="28"/>
      <c r="E111" s="85"/>
      <c r="F111" s="29"/>
      <c r="G111" s="86"/>
      <c r="H111" s="30"/>
      <c r="I111" s="85"/>
      <c r="J111" s="30"/>
      <c r="K111" s="62"/>
      <c r="L111" s="30"/>
      <c r="M111" s="36"/>
      <c r="N111" s="37"/>
      <c r="O111" s="46"/>
      <c r="P111" s="46"/>
      <c r="Q111" s="632"/>
      <c r="R111" s="633"/>
      <c r="S111" s="634"/>
    </row>
  </sheetData>
  <mergeCells count="219">
    <mergeCell ref="A109:C109"/>
    <mergeCell ref="Q109:S109"/>
    <mergeCell ref="A110:C110"/>
    <mergeCell ref="Q110:S110"/>
    <mergeCell ref="A111:C111"/>
    <mergeCell ref="Q111:S111"/>
    <mergeCell ref="A106:C106"/>
    <mergeCell ref="Q106:S106"/>
    <mergeCell ref="A107:C107"/>
    <mergeCell ref="Q107:S107"/>
    <mergeCell ref="A108:C108"/>
    <mergeCell ref="Q108:S108"/>
    <mergeCell ref="A103:C103"/>
    <mergeCell ref="Q103:S103"/>
    <mergeCell ref="A104:C104"/>
    <mergeCell ref="Q104:S104"/>
    <mergeCell ref="A105:C105"/>
    <mergeCell ref="Q105:S105"/>
    <mergeCell ref="A100:C100"/>
    <mergeCell ref="Q100:S100"/>
    <mergeCell ref="A101:C101"/>
    <mergeCell ref="Q101:S101"/>
    <mergeCell ref="A102:C102"/>
    <mergeCell ref="Q102:S102"/>
    <mergeCell ref="A97:C97"/>
    <mergeCell ref="Q97:S97"/>
    <mergeCell ref="A98:C98"/>
    <mergeCell ref="Q98:S98"/>
    <mergeCell ref="A99:C99"/>
    <mergeCell ref="Q99:S99"/>
    <mergeCell ref="A94:C94"/>
    <mergeCell ref="Q94:S94"/>
    <mergeCell ref="A95:C95"/>
    <mergeCell ref="Q95:S95"/>
    <mergeCell ref="A96:C96"/>
    <mergeCell ref="Q96:S96"/>
    <mergeCell ref="A91:C91"/>
    <mergeCell ref="Q91:S91"/>
    <mergeCell ref="A92:C92"/>
    <mergeCell ref="Q92:S92"/>
    <mergeCell ref="A93:C93"/>
    <mergeCell ref="Q93:S93"/>
    <mergeCell ref="A88:C88"/>
    <mergeCell ref="Q88:S88"/>
    <mergeCell ref="A89:C89"/>
    <mergeCell ref="Q89:S89"/>
    <mergeCell ref="A90:C90"/>
    <mergeCell ref="Q90:S90"/>
    <mergeCell ref="A85:C85"/>
    <mergeCell ref="Q85:S85"/>
    <mergeCell ref="A86:C86"/>
    <mergeCell ref="Q86:S86"/>
    <mergeCell ref="A87:C87"/>
    <mergeCell ref="Q87:S87"/>
    <mergeCell ref="A82:C82"/>
    <mergeCell ref="Q82:S82"/>
    <mergeCell ref="A83:C83"/>
    <mergeCell ref="Q83:S83"/>
    <mergeCell ref="A84:C84"/>
    <mergeCell ref="Q84:S84"/>
    <mergeCell ref="A79:C79"/>
    <mergeCell ref="Q79:S79"/>
    <mergeCell ref="A80:C80"/>
    <mergeCell ref="Q80:S80"/>
    <mergeCell ref="A81:C81"/>
    <mergeCell ref="Q81:S81"/>
    <mergeCell ref="A76:C76"/>
    <mergeCell ref="Q76:S76"/>
    <mergeCell ref="A77:C77"/>
    <mergeCell ref="Q77:S77"/>
    <mergeCell ref="A78:C78"/>
    <mergeCell ref="Q78:S78"/>
    <mergeCell ref="A73:C73"/>
    <mergeCell ref="Q73:S73"/>
    <mergeCell ref="A74:C74"/>
    <mergeCell ref="Q74:S74"/>
    <mergeCell ref="A75:C75"/>
    <mergeCell ref="Q75:S75"/>
    <mergeCell ref="A70:C70"/>
    <mergeCell ref="Q70:S70"/>
    <mergeCell ref="A71:C71"/>
    <mergeCell ref="Q71:S71"/>
    <mergeCell ref="A72:C72"/>
    <mergeCell ref="Q72:S72"/>
    <mergeCell ref="A67:C67"/>
    <mergeCell ref="Q67:S67"/>
    <mergeCell ref="A68:C68"/>
    <mergeCell ref="Q68:S68"/>
    <mergeCell ref="A69:C69"/>
    <mergeCell ref="Q69:S69"/>
    <mergeCell ref="A64:C64"/>
    <mergeCell ref="Q64:S64"/>
    <mergeCell ref="A65:C65"/>
    <mergeCell ref="Q65:S65"/>
    <mergeCell ref="A66:C66"/>
    <mergeCell ref="Q66:S66"/>
    <mergeCell ref="A61:C61"/>
    <mergeCell ref="Q61:S61"/>
    <mergeCell ref="A62:C62"/>
    <mergeCell ref="Q62:S62"/>
    <mergeCell ref="A63:C63"/>
    <mergeCell ref="Q63:S63"/>
    <mergeCell ref="A58:C58"/>
    <mergeCell ref="Q58:S58"/>
    <mergeCell ref="A59:C59"/>
    <mergeCell ref="Q59:S59"/>
    <mergeCell ref="A60:C60"/>
    <mergeCell ref="Q60:S60"/>
    <mergeCell ref="A55:C55"/>
    <mergeCell ref="Q55:S55"/>
    <mergeCell ref="A56:C56"/>
    <mergeCell ref="Q56:S56"/>
    <mergeCell ref="A57:C57"/>
    <mergeCell ref="Q57:S57"/>
    <mergeCell ref="A52:C52"/>
    <mergeCell ref="Q52:S52"/>
    <mergeCell ref="A53:C53"/>
    <mergeCell ref="Q53:S53"/>
    <mergeCell ref="A54:C54"/>
    <mergeCell ref="Q54:S54"/>
    <mergeCell ref="A49:C49"/>
    <mergeCell ref="Q49:S49"/>
    <mergeCell ref="A50:C50"/>
    <mergeCell ref="Q50:S50"/>
    <mergeCell ref="A51:C51"/>
    <mergeCell ref="Q51:S51"/>
    <mergeCell ref="A46:C46"/>
    <mergeCell ref="Q46:S46"/>
    <mergeCell ref="A47:C47"/>
    <mergeCell ref="Q47:S47"/>
    <mergeCell ref="A48:C48"/>
    <mergeCell ref="Q48:S48"/>
    <mergeCell ref="A43:C43"/>
    <mergeCell ref="Q43:S43"/>
    <mergeCell ref="A44:C44"/>
    <mergeCell ref="Q44:S44"/>
    <mergeCell ref="A45:C45"/>
    <mergeCell ref="Q45:S45"/>
    <mergeCell ref="A40:C40"/>
    <mergeCell ref="Q40:S40"/>
    <mergeCell ref="A41:C41"/>
    <mergeCell ref="Q41:S41"/>
    <mergeCell ref="A42:C42"/>
    <mergeCell ref="Q42:S42"/>
    <mergeCell ref="A37:C37"/>
    <mergeCell ref="Q37:S37"/>
    <mergeCell ref="A38:C38"/>
    <mergeCell ref="Q38:S38"/>
    <mergeCell ref="A39:C39"/>
    <mergeCell ref="Q39:S39"/>
    <mergeCell ref="A34:C34"/>
    <mergeCell ref="Q34:S34"/>
    <mergeCell ref="A35:C35"/>
    <mergeCell ref="Q35:S35"/>
    <mergeCell ref="A36:C36"/>
    <mergeCell ref="Q36:S36"/>
    <mergeCell ref="A31:C31"/>
    <mergeCell ref="Q31:S31"/>
    <mergeCell ref="A32:C32"/>
    <mergeCell ref="Q32:S32"/>
    <mergeCell ref="A33:C33"/>
    <mergeCell ref="Q33:S33"/>
    <mergeCell ref="A28:C28"/>
    <mergeCell ref="Q28:S28"/>
    <mergeCell ref="A29:C29"/>
    <mergeCell ref="Q29:S29"/>
    <mergeCell ref="A30:C30"/>
    <mergeCell ref="Q30:S30"/>
    <mergeCell ref="A25:C25"/>
    <mergeCell ref="Q25:S25"/>
    <mergeCell ref="A26:C26"/>
    <mergeCell ref="Q26:S26"/>
    <mergeCell ref="A27:C27"/>
    <mergeCell ref="Q27:S27"/>
    <mergeCell ref="A22:C22"/>
    <mergeCell ref="Q22:S22"/>
    <mergeCell ref="A23:C23"/>
    <mergeCell ref="Q23:S23"/>
    <mergeCell ref="A24:C24"/>
    <mergeCell ref="Q24:S24"/>
    <mergeCell ref="A19:C19"/>
    <mergeCell ref="Q19:S19"/>
    <mergeCell ref="A20:C20"/>
    <mergeCell ref="Q20:S20"/>
    <mergeCell ref="A21:C21"/>
    <mergeCell ref="Q21:S21"/>
    <mergeCell ref="A16:C16"/>
    <mergeCell ref="Q16:S16"/>
    <mergeCell ref="A17:C17"/>
    <mergeCell ref="Q17:S17"/>
    <mergeCell ref="A18:C18"/>
    <mergeCell ref="Q18:S18"/>
    <mergeCell ref="A13:C13"/>
    <mergeCell ref="Q13:S13"/>
    <mergeCell ref="A14:C14"/>
    <mergeCell ref="Q14:S14"/>
    <mergeCell ref="A15:C15"/>
    <mergeCell ref="Q15:S15"/>
    <mergeCell ref="A10:C10"/>
    <mergeCell ref="Q10:S10"/>
    <mergeCell ref="A11:C11"/>
    <mergeCell ref="Q11:S11"/>
    <mergeCell ref="A12:C12"/>
    <mergeCell ref="Q12:S12"/>
    <mergeCell ref="Q6:S6"/>
    <mergeCell ref="A7:C7"/>
    <mergeCell ref="Q7:S7"/>
    <mergeCell ref="A8:C8"/>
    <mergeCell ref="Q8:S8"/>
    <mergeCell ref="A9:C9"/>
    <mergeCell ref="Q9:S9"/>
    <mergeCell ref="L1:M1"/>
    <mergeCell ref="L2:M2"/>
    <mergeCell ref="D3:F3"/>
    <mergeCell ref="L3:M3"/>
    <mergeCell ref="A4:C4"/>
    <mergeCell ref="D4:F4"/>
    <mergeCell ref="L4:M4"/>
    <mergeCell ref="P2:Q2"/>
  </mergeCells>
  <hyperlinks>
    <hyperlink ref="P8" location="'Alternate #1 price'!A1" display="AP1"/>
    <hyperlink ref="D8" r:id="rId1"/>
    <hyperlink ref="P2" location="'Table of Contents'!A1" display="Table of Contents"/>
  </hyperlinks>
  <pageMargins left="0.7" right="0.7" top="0.75" bottom="0.75" header="0.3" footer="0.3"/>
  <pageSetup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28"/>
  <sheetViews>
    <sheetView workbookViewId="0">
      <selection activeCell="Q9" sqref="Q9"/>
    </sheetView>
  </sheetViews>
  <sheetFormatPr defaultRowHeight="15" x14ac:dyDescent="0.25"/>
  <cols>
    <col min="1" max="2" width="2.7109375" style="194" customWidth="1"/>
    <col min="3" max="3" width="15.85546875" style="194" customWidth="1"/>
    <col min="4" max="4" width="3.7109375" style="194" customWidth="1"/>
    <col min="5" max="5" width="6.7109375" style="194" customWidth="1"/>
    <col min="6" max="6" width="2.7109375" style="194" customWidth="1"/>
    <col min="7" max="8" width="6.7109375" style="194" customWidth="1"/>
    <col min="9" max="13" width="5.7109375" style="194" customWidth="1"/>
    <col min="14" max="14" width="3.5703125" style="194" bestFit="1" customWidth="1"/>
    <col min="15" max="15" width="5.7109375" style="194" customWidth="1"/>
    <col min="16" max="16" width="6.7109375" style="194" customWidth="1"/>
    <col min="17" max="17" width="9.140625" style="194" bestFit="1" customWidth="1"/>
    <col min="18" max="18" width="5.7109375" style="194" customWidth="1"/>
    <col min="19" max="19" width="6.7109375" style="194" customWidth="1"/>
    <col min="20" max="20" width="7.7109375" style="194" customWidth="1"/>
    <col min="21" max="21" width="5.7109375" style="194" customWidth="1"/>
    <col min="22" max="22" width="2.7109375" style="194" customWidth="1"/>
    <col min="23" max="24" width="9.140625" style="194"/>
    <col min="25" max="25" width="13.42578125" style="194" customWidth="1"/>
    <col min="26" max="256" width="9.140625" style="194"/>
    <col min="257" max="258" width="2.7109375" style="194" customWidth="1"/>
    <col min="259" max="259" width="15.85546875" style="194" customWidth="1"/>
    <col min="260" max="260" width="3.7109375" style="194" customWidth="1"/>
    <col min="261" max="261" width="6.7109375" style="194" customWidth="1"/>
    <col min="262" max="262" width="2.7109375" style="194" customWidth="1"/>
    <col min="263" max="264" width="6.7109375" style="194" customWidth="1"/>
    <col min="265" max="269" width="5.7109375" style="194" customWidth="1"/>
    <col min="270" max="270" width="3.140625" style="194" bestFit="1" customWidth="1"/>
    <col min="271" max="271" width="5.7109375" style="194" customWidth="1"/>
    <col min="272" max="272" width="6.7109375" style="194" customWidth="1"/>
    <col min="273" max="273" width="7.7109375" style="194" customWidth="1"/>
    <col min="274" max="274" width="5.7109375" style="194" customWidth="1"/>
    <col min="275" max="275" width="6.7109375" style="194" customWidth="1"/>
    <col min="276" max="276" width="7.7109375" style="194" customWidth="1"/>
    <col min="277" max="277" width="5.7109375" style="194" customWidth="1"/>
    <col min="278" max="278" width="2.7109375" style="194" customWidth="1"/>
    <col min="279" max="280" width="9.140625" style="194"/>
    <col min="281" max="281" width="13.42578125" style="194" customWidth="1"/>
    <col min="282" max="512" width="9.140625" style="194"/>
    <col min="513" max="514" width="2.7109375" style="194" customWidth="1"/>
    <col min="515" max="515" width="15.85546875" style="194" customWidth="1"/>
    <col min="516" max="516" width="3.7109375" style="194" customWidth="1"/>
    <col min="517" max="517" width="6.7109375" style="194" customWidth="1"/>
    <col min="518" max="518" width="2.7109375" style="194" customWidth="1"/>
    <col min="519" max="520" width="6.7109375" style="194" customWidth="1"/>
    <col min="521" max="525" width="5.7109375" style="194" customWidth="1"/>
    <col min="526" max="526" width="3.140625" style="194" bestFit="1" customWidth="1"/>
    <col min="527" max="527" width="5.7109375" style="194" customWidth="1"/>
    <col min="528" max="528" width="6.7109375" style="194" customWidth="1"/>
    <col min="529" max="529" width="7.7109375" style="194" customWidth="1"/>
    <col min="530" max="530" width="5.7109375" style="194" customWidth="1"/>
    <col min="531" max="531" width="6.7109375" style="194" customWidth="1"/>
    <col min="532" max="532" width="7.7109375" style="194" customWidth="1"/>
    <col min="533" max="533" width="5.7109375" style="194" customWidth="1"/>
    <col min="534" max="534" width="2.7109375" style="194" customWidth="1"/>
    <col min="535" max="536" width="9.140625" style="194"/>
    <col min="537" max="537" width="13.42578125" style="194" customWidth="1"/>
    <col min="538" max="768" width="9.140625" style="194"/>
    <col min="769" max="770" width="2.7109375" style="194" customWidth="1"/>
    <col min="771" max="771" width="15.85546875" style="194" customWidth="1"/>
    <col min="772" max="772" width="3.7109375" style="194" customWidth="1"/>
    <col min="773" max="773" width="6.7109375" style="194" customWidth="1"/>
    <col min="774" max="774" width="2.7109375" style="194" customWidth="1"/>
    <col min="775" max="776" width="6.7109375" style="194" customWidth="1"/>
    <col min="777" max="781" width="5.7109375" style="194" customWidth="1"/>
    <col min="782" max="782" width="3.140625" style="194" bestFit="1" customWidth="1"/>
    <col min="783" max="783" width="5.7109375" style="194" customWidth="1"/>
    <col min="784" max="784" width="6.7109375" style="194" customWidth="1"/>
    <col min="785" max="785" width="7.7109375" style="194" customWidth="1"/>
    <col min="786" max="786" width="5.7109375" style="194" customWidth="1"/>
    <col min="787" max="787" width="6.7109375" style="194" customWidth="1"/>
    <col min="788" max="788" width="7.7109375" style="194" customWidth="1"/>
    <col min="789" max="789" width="5.7109375" style="194" customWidth="1"/>
    <col min="790" max="790" width="2.7109375" style="194" customWidth="1"/>
    <col min="791" max="792" width="9.140625" style="194"/>
    <col min="793" max="793" width="13.42578125" style="194" customWidth="1"/>
    <col min="794" max="1024" width="9.140625" style="194"/>
    <col min="1025" max="1026" width="2.7109375" style="194" customWidth="1"/>
    <col min="1027" max="1027" width="15.85546875" style="194" customWidth="1"/>
    <col min="1028" max="1028" width="3.7109375" style="194" customWidth="1"/>
    <col min="1029" max="1029" width="6.7109375" style="194" customWidth="1"/>
    <col min="1030" max="1030" width="2.7109375" style="194" customWidth="1"/>
    <col min="1031" max="1032" width="6.7109375" style="194" customWidth="1"/>
    <col min="1033" max="1037" width="5.7109375" style="194" customWidth="1"/>
    <col min="1038" max="1038" width="3.140625" style="194" bestFit="1" customWidth="1"/>
    <col min="1039" max="1039" width="5.7109375" style="194" customWidth="1"/>
    <col min="1040" max="1040" width="6.7109375" style="194" customWidth="1"/>
    <col min="1041" max="1041" width="7.7109375" style="194" customWidth="1"/>
    <col min="1042" max="1042" width="5.7109375" style="194" customWidth="1"/>
    <col min="1043" max="1043" width="6.7109375" style="194" customWidth="1"/>
    <col min="1044" max="1044" width="7.7109375" style="194" customWidth="1"/>
    <col min="1045" max="1045" width="5.7109375" style="194" customWidth="1"/>
    <col min="1046" max="1046" width="2.7109375" style="194" customWidth="1"/>
    <col min="1047" max="1048" width="9.140625" style="194"/>
    <col min="1049" max="1049" width="13.42578125" style="194" customWidth="1"/>
    <col min="1050" max="1280" width="9.140625" style="194"/>
    <col min="1281" max="1282" width="2.7109375" style="194" customWidth="1"/>
    <col min="1283" max="1283" width="15.85546875" style="194" customWidth="1"/>
    <col min="1284" max="1284" width="3.7109375" style="194" customWidth="1"/>
    <col min="1285" max="1285" width="6.7109375" style="194" customWidth="1"/>
    <col min="1286" max="1286" width="2.7109375" style="194" customWidth="1"/>
    <col min="1287" max="1288" width="6.7109375" style="194" customWidth="1"/>
    <col min="1289" max="1293" width="5.7109375" style="194" customWidth="1"/>
    <col min="1294" max="1294" width="3.140625" style="194" bestFit="1" customWidth="1"/>
    <col min="1295" max="1295" width="5.7109375" style="194" customWidth="1"/>
    <col min="1296" max="1296" width="6.7109375" style="194" customWidth="1"/>
    <col min="1297" max="1297" width="7.7109375" style="194" customWidth="1"/>
    <col min="1298" max="1298" width="5.7109375" style="194" customWidth="1"/>
    <col min="1299" max="1299" width="6.7109375" style="194" customWidth="1"/>
    <col min="1300" max="1300" width="7.7109375" style="194" customWidth="1"/>
    <col min="1301" max="1301" width="5.7109375" style="194" customWidth="1"/>
    <col min="1302" max="1302" width="2.7109375" style="194" customWidth="1"/>
    <col min="1303" max="1304" width="9.140625" style="194"/>
    <col min="1305" max="1305" width="13.42578125" style="194" customWidth="1"/>
    <col min="1306" max="1536" width="9.140625" style="194"/>
    <col min="1537" max="1538" width="2.7109375" style="194" customWidth="1"/>
    <col min="1539" max="1539" width="15.85546875" style="194" customWidth="1"/>
    <col min="1540" max="1540" width="3.7109375" style="194" customWidth="1"/>
    <col min="1541" max="1541" width="6.7109375" style="194" customWidth="1"/>
    <col min="1542" max="1542" width="2.7109375" style="194" customWidth="1"/>
    <col min="1543" max="1544" width="6.7109375" style="194" customWidth="1"/>
    <col min="1545" max="1549" width="5.7109375" style="194" customWidth="1"/>
    <col min="1550" max="1550" width="3.140625" style="194" bestFit="1" customWidth="1"/>
    <col min="1551" max="1551" width="5.7109375" style="194" customWidth="1"/>
    <col min="1552" max="1552" width="6.7109375" style="194" customWidth="1"/>
    <col min="1553" max="1553" width="7.7109375" style="194" customWidth="1"/>
    <col min="1554" max="1554" width="5.7109375" style="194" customWidth="1"/>
    <col min="1555" max="1555" width="6.7109375" style="194" customWidth="1"/>
    <col min="1556" max="1556" width="7.7109375" style="194" customWidth="1"/>
    <col min="1557" max="1557" width="5.7109375" style="194" customWidth="1"/>
    <col min="1558" max="1558" width="2.7109375" style="194" customWidth="1"/>
    <col min="1559" max="1560" width="9.140625" style="194"/>
    <col min="1561" max="1561" width="13.42578125" style="194" customWidth="1"/>
    <col min="1562" max="1792" width="9.140625" style="194"/>
    <col min="1793" max="1794" width="2.7109375" style="194" customWidth="1"/>
    <col min="1795" max="1795" width="15.85546875" style="194" customWidth="1"/>
    <col min="1796" max="1796" width="3.7109375" style="194" customWidth="1"/>
    <col min="1797" max="1797" width="6.7109375" style="194" customWidth="1"/>
    <col min="1798" max="1798" width="2.7109375" style="194" customWidth="1"/>
    <col min="1799" max="1800" width="6.7109375" style="194" customWidth="1"/>
    <col min="1801" max="1805" width="5.7109375" style="194" customWidth="1"/>
    <col min="1806" max="1806" width="3.140625" style="194" bestFit="1" customWidth="1"/>
    <col min="1807" max="1807" width="5.7109375" style="194" customWidth="1"/>
    <col min="1808" max="1808" width="6.7109375" style="194" customWidth="1"/>
    <col min="1809" max="1809" width="7.7109375" style="194" customWidth="1"/>
    <col min="1810" max="1810" width="5.7109375" style="194" customWidth="1"/>
    <col min="1811" max="1811" width="6.7109375" style="194" customWidth="1"/>
    <col min="1812" max="1812" width="7.7109375" style="194" customWidth="1"/>
    <col min="1813" max="1813" width="5.7109375" style="194" customWidth="1"/>
    <col min="1814" max="1814" width="2.7109375" style="194" customWidth="1"/>
    <col min="1815" max="1816" width="9.140625" style="194"/>
    <col min="1817" max="1817" width="13.42578125" style="194" customWidth="1"/>
    <col min="1818" max="2048" width="9.140625" style="194"/>
    <col min="2049" max="2050" width="2.7109375" style="194" customWidth="1"/>
    <col min="2051" max="2051" width="15.85546875" style="194" customWidth="1"/>
    <col min="2052" max="2052" width="3.7109375" style="194" customWidth="1"/>
    <col min="2053" max="2053" width="6.7109375" style="194" customWidth="1"/>
    <col min="2054" max="2054" width="2.7109375" style="194" customWidth="1"/>
    <col min="2055" max="2056" width="6.7109375" style="194" customWidth="1"/>
    <col min="2057" max="2061" width="5.7109375" style="194" customWidth="1"/>
    <col min="2062" max="2062" width="3.140625" style="194" bestFit="1" customWidth="1"/>
    <col min="2063" max="2063" width="5.7109375" style="194" customWidth="1"/>
    <col min="2064" max="2064" width="6.7109375" style="194" customWidth="1"/>
    <col min="2065" max="2065" width="7.7109375" style="194" customWidth="1"/>
    <col min="2066" max="2066" width="5.7109375" style="194" customWidth="1"/>
    <col min="2067" max="2067" width="6.7109375" style="194" customWidth="1"/>
    <col min="2068" max="2068" width="7.7109375" style="194" customWidth="1"/>
    <col min="2069" max="2069" width="5.7109375" style="194" customWidth="1"/>
    <col min="2070" max="2070" width="2.7109375" style="194" customWidth="1"/>
    <col min="2071" max="2072" width="9.140625" style="194"/>
    <col min="2073" max="2073" width="13.42578125" style="194" customWidth="1"/>
    <col min="2074" max="2304" width="9.140625" style="194"/>
    <col min="2305" max="2306" width="2.7109375" style="194" customWidth="1"/>
    <col min="2307" max="2307" width="15.85546875" style="194" customWidth="1"/>
    <col min="2308" max="2308" width="3.7109375" style="194" customWidth="1"/>
    <col min="2309" max="2309" width="6.7109375" style="194" customWidth="1"/>
    <col min="2310" max="2310" width="2.7109375" style="194" customWidth="1"/>
    <col min="2311" max="2312" width="6.7109375" style="194" customWidth="1"/>
    <col min="2313" max="2317" width="5.7109375" style="194" customWidth="1"/>
    <col min="2318" max="2318" width="3.140625" style="194" bestFit="1" customWidth="1"/>
    <col min="2319" max="2319" width="5.7109375" style="194" customWidth="1"/>
    <col min="2320" max="2320" width="6.7109375" style="194" customWidth="1"/>
    <col min="2321" max="2321" width="7.7109375" style="194" customWidth="1"/>
    <col min="2322" max="2322" width="5.7109375" style="194" customWidth="1"/>
    <col min="2323" max="2323" width="6.7109375" style="194" customWidth="1"/>
    <col min="2324" max="2324" width="7.7109375" style="194" customWidth="1"/>
    <col min="2325" max="2325" width="5.7109375" style="194" customWidth="1"/>
    <col min="2326" max="2326" width="2.7109375" style="194" customWidth="1"/>
    <col min="2327" max="2328" width="9.140625" style="194"/>
    <col min="2329" max="2329" width="13.42578125" style="194" customWidth="1"/>
    <col min="2330" max="2560" width="9.140625" style="194"/>
    <col min="2561" max="2562" width="2.7109375" style="194" customWidth="1"/>
    <col min="2563" max="2563" width="15.85546875" style="194" customWidth="1"/>
    <col min="2564" max="2564" width="3.7109375" style="194" customWidth="1"/>
    <col min="2565" max="2565" width="6.7109375" style="194" customWidth="1"/>
    <col min="2566" max="2566" width="2.7109375" style="194" customWidth="1"/>
    <col min="2567" max="2568" width="6.7109375" style="194" customWidth="1"/>
    <col min="2569" max="2573" width="5.7109375" style="194" customWidth="1"/>
    <col min="2574" max="2574" width="3.140625" style="194" bestFit="1" customWidth="1"/>
    <col min="2575" max="2575" width="5.7109375" style="194" customWidth="1"/>
    <col min="2576" max="2576" width="6.7109375" style="194" customWidth="1"/>
    <col min="2577" max="2577" width="7.7109375" style="194" customWidth="1"/>
    <col min="2578" max="2578" width="5.7109375" style="194" customWidth="1"/>
    <col min="2579" max="2579" width="6.7109375" style="194" customWidth="1"/>
    <col min="2580" max="2580" width="7.7109375" style="194" customWidth="1"/>
    <col min="2581" max="2581" width="5.7109375" style="194" customWidth="1"/>
    <col min="2582" max="2582" width="2.7109375" style="194" customWidth="1"/>
    <col min="2583" max="2584" width="9.140625" style="194"/>
    <col min="2585" max="2585" width="13.42578125" style="194" customWidth="1"/>
    <col min="2586" max="2816" width="9.140625" style="194"/>
    <col min="2817" max="2818" width="2.7109375" style="194" customWidth="1"/>
    <col min="2819" max="2819" width="15.85546875" style="194" customWidth="1"/>
    <col min="2820" max="2820" width="3.7109375" style="194" customWidth="1"/>
    <col min="2821" max="2821" width="6.7109375" style="194" customWidth="1"/>
    <col min="2822" max="2822" width="2.7109375" style="194" customWidth="1"/>
    <col min="2823" max="2824" width="6.7109375" style="194" customWidth="1"/>
    <col min="2825" max="2829" width="5.7109375" style="194" customWidth="1"/>
    <col min="2830" max="2830" width="3.140625" style="194" bestFit="1" customWidth="1"/>
    <col min="2831" max="2831" width="5.7109375" style="194" customWidth="1"/>
    <col min="2832" max="2832" width="6.7109375" style="194" customWidth="1"/>
    <col min="2833" max="2833" width="7.7109375" style="194" customWidth="1"/>
    <col min="2834" max="2834" width="5.7109375" style="194" customWidth="1"/>
    <col min="2835" max="2835" width="6.7109375" style="194" customWidth="1"/>
    <col min="2836" max="2836" width="7.7109375" style="194" customWidth="1"/>
    <col min="2837" max="2837" width="5.7109375" style="194" customWidth="1"/>
    <col min="2838" max="2838" width="2.7109375" style="194" customWidth="1"/>
    <col min="2839" max="2840" width="9.140625" style="194"/>
    <col min="2841" max="2841" width="13.42578125" style="194" customWidth="1"/>
    <col min="2842" max="3072" width="9.140625" style="194"/>
    <col min="3073" max="3074" width="2.7109375" style="194" customWidth="1"/>
    <col min="3075" max="3075" width="15.85546875" style="194" customWidth="1"/>
    <col min="3076" max="3076" width="3.7109375" style="194" customWidth="1"/>
    <col min="3077" max="3077" width="6.7109375" style="194" customWidth="1"/>
    <col min="3078" max="3078" width="2.7109375" style="194" customWidth="1"/>
    <col min="3079" max="3080" width="6.7109375" style="194" customWidth="1"/>
    <col min="3081" max="3085" width="5.7109375" style="194" customWidth="1"/>
    <col min="3086" max="3086" width="3.140625" style="194" bestFit="1" customWidth="1"/>
    <col min="3087" max="3087" width="5.7109375" style="194" customWidth="1"/>
    <col min="3088" max="3088" width="6.7109375" style="194" customWidth="1"/>
    <col min="3089" max="3089" width="7.7109375" style="194" customWidth="1"/>
    <col min="3090" max="3090" width="5.7109375" style="194" customWidth="1"/>
    <col min="3091" max="3091" width="6.7109375" style="194" customWidth="1"/>
    <col min="3092" max="3092" width="7.7109375" style="194" customWidth="1"/>
    <col min="3093" max="3093" width="5.7109375" style="194" customWidth="1"/>
    <col min="3094" max="3094" width="2.7109375" style="194" customWidth="1"/>
    <col min="3095" max="3096" width="9.140625" style="194"/>
    <col min="3097" max="3097" width="13.42578125" style="194" customWidth="1"/>
    <col min="3098" max="3328" width="9.140625" style="194"/>
    <col min="3329" max="3330" width="2.7109375" style="194" customWidth="1"/>
    <col min="3331" max="3331" width="15.85546875" style="194" customWidth="1"/>
    <col min="3332" max="3332" width="3.7109375" style="194" customWidth="1"/>
    <col min="3333" max="3333" width="6.7109375" style="194" customWidth="1"/>
    <col min="3334" max="3334" width="2.7109375" style="194" customWidth="1"/>
    <col min="3335" max="3336" width="6.7109375" style="194" customWidth="1"/>
    <col min="3337" max="3341" width="5.7109375" style="194" customWidth="1"/>
    <col min="3342" max="3342" width="3.140625" style="194" bestFit="1" customWidth="1"/>
    <col min="3343" max="3343" width="5.7109375" style="194" customWidth="1"/>
    <col min="3344" max="3344" width="6.7109375" style="194" customWidth="1"/>
    <col min="3345" max="3345" width="7.7109375" style="194" customWidth="1"/>
    <col min="3346" max="3346" width="5.7109375" style="194" customWidth="1"/>
    <col min="3347" max="3347" width="6.7109375" style="194" customWidth="1"/>
    <col min="3348" max="3348" width="7.7109375" style="194" customWidth="1"/>
    <col min="3349" max="3349" width="5.7109375" style="194" customWidth="1"/>
    <col min="3350" max="3350" width="2.7109375" style="194" customWidth="1"/>
    <col min="3351" max="3352" width="9.140625" style="194"/>
    <col min="3353" max="3353" width="13.42578125" style="194" customWidth="1"/>
    <col min="3354" max="3584" width="9.140625" style="194"/>
    <col min="3585" max="3586" width="2.7109375" style="194" customWidth="1"/>
    <col min="3587" max="3587" width="15.85546875" style="194" customWidth="1"/>
    <col min="3588" max="3588" width="3.7109375" style="194" customWidth="1"/>
    <col min="3589" max="3589" width="6.7109375" style="194" customWidth="1"/>
    <col min="3590" max="3590" width="2.7109375" style="194" customWidth="1"/>
    <col min="3591" max="3592" width="6.7109375" style="194" customWidth="1"/>
    <col min="3593" max="3597" width="5.7109375" style="194" customWidth="1"/>
    <col min="3598" max="3598" width="3.140625" style="194" bestFit="1" customWidth="1"/>
    <col min="3599" max="3599" width="5.7109375" style="194" customWidth="1"/>
    <col min="3600" max="3600" width="6.7109375" style="194" customWidth="1"/>
    <col min="3601" max="3601" width="7.7109375" style="194" customWidth="1"/>
    <col min="3602" max="3602" width="5.7109375" style="194" customWidth="1"/>
    <col min="3603" max="3603" width="6.7109375" style="194" customWidth="1"/>
    <col min="3604" max="3604" width="7.7109375" style="194" customWidth="1"/>
    <col min="3605" max="3605" width="5.7109375" style="194" customWidth="1"/>
    <col min="3606" max="3606" width="2.7109375" style="194" customWidth="1"/>
    <col min="3607" max="3608" width="9.140625" style="194"/>
    <col min="3609" max="3609" width="13.42578125" style="194" customWidth="1"/>
    <col min="3610" max="3840" width="9.140625" style="194"/>
    <col min="3841" max="3842" width="2.7109375" style="194" customWidth="1"/>
    <col min="3843" max="3843" width="15.85546875" style="194" customWidth="1"/>
    <col min="3844" max="3844" width="3.7109375" style="194" customWidth="1"/>
    <col min="3845" max="3845" width="6.7109375" style="194" customWidth="1"/>
    <col min="3846" max="3846" width="2.7109375" style="194" customWidth="1"/>
    <col min="3847" max="3848" width="6.7109375" style="194" customWidth="1"/>
    <col min="3849" max="3853" width="5.7109375" style="194" customWidth="1"/>
    <col min="3854" max="3854" width="3.140625" style="194" bestFit="1" customWidth="1"/>
    <col min="3855" max="3855" width="5.7109375" style="194" customWidth="1"/>
    <col min="3856" max="3856" width="6.7109375" style="194" customWidth="1"/>
    <col min="3857" max="3857" width="7.7109375" style="194" customWidth="1"/>
    <col min="3858" max="3858" width="5.7109375" style="194" customWidth="1"/>
    <col min="3859" max="3859" width="6.7109375" style="194" customWidth="1"/>
    <col min="3860" max="3860" width="7.7109375" style="194" customWidth="1"/>
    <col min="3861" max="3861" width="5.7109375" style="194" customWidth="1"/>
    <col min="3862" max="3862" width="2.7109375" style="194" customWidth="1"/>
    <col min="3863" max="3864" width="9.140625" style="194"/>
    <col min="3865" max="3865" width="13.42578125" style="194" customWidth="1"/>
    <col min="3866" max="4096" width="9.140625" style="194"/>
    <col min="4097" max="4098" width="2.7109375" style="194" customWidth="1"/>
    <col min="4099" max="4099" width="15.85546875" style="194" customWidth="1"/>
    <col min="4100" max="4100" width="3.7109375" style="194" customWidth="1"/>
    <col min="4101" max="4101" width="6.7109375" style="194" customWidth="1"/>
    <col min="4102" max="4102" width="2.7109375" style="194" customWidth="1"/>
    <col min="4103" max="4104" width="6.7109375" style="194" customWidth="1"/>
    <col min="4105" max="4109" width="5.7109375" style="194" customWidth="1"/>
    <col min="4110" max="4110" width="3.140625" style="194" bestFit="1" customWidth="1"/>
    <col min="4111" max="4111" width="5.7109375" style="194" customWidth="1"/>
    <col min="4112" max="4112" width="6.7109375" style="194" customWidth="1"/>
    <col min="4113" max="4113" width="7.7109375" style="194" customWidth="1"/>
    <col min="4114" max="4114" width="5.7109375" style="194" customWidth="1"/>
    <col min="4115" max="4115" width="6.7109375" style="194" customWidth="1"/>
    <col min="4116" max="4116" width="7.7109375" style="194" customWidth="1"/>
    <col min="4117" max="4117" width="5.7109375" style="194" customWidth="1"/>
    <col min="4118" max="4118" width="2.7109375" style="194" customWidth="1"/>
    <col min="4119" max="4120" width="9.140625" style="194"/>
    <col min="4121" max="4121" width="13.42578125" style="194" customWidth="1"/>
    <col min="4122" max="4352" width="9.140625" style="194"/>
    <col min="4353" max="4354" width="2.7109375" style="194" customWidth="1"/>
    <col min="4355" max="4355" width="15.85546875" style="194" customWidth="1"/>
    <col min="4356" max="4356" width="3.7109375" style="194" customWidth="1"/>
    <col min="4357" max="4357" width="6.7109375" style="194" customWidth="1"/>
    <col min="4358" max="4358" width="2.7109375" style="194" customWidth="1"/>
    <col min="4359" max="4360" width="6.7109375" style="194" customWidth="1"/>
    <col min="4361" max="4365" width="5.7109375" style="194" customWidth="1"/>
    <col min="4366" max="4366" width="3.140625" style="194" bestFit="1" customWidth="1"/>
    <col min="4367" max="4367" width="5.7109375" style="194" customWidth="1"/>
    <col min="4368" max="4368" width="6.7109375" style="194" customWidth="1"/>
    <col min="4369" max="4369" width="7.7109375" style="194" customWidth="1"/>
    <col min="4370" max="4370" width="5.7109375" style="194" customWidth="1"/>
    <col min="4371" max="4371" width="6.7109375" style="194" customWidth="1"/>
    <col min="4372" max="4372" width="7.7109375" style="194" customWidth="1"/>
    <col min="4373" max="4373" width="5.7109375" style="194" customWidth="1"/>
    <col min="4374" max="4374" width="2.7109375" style="194" customWidth="1"/>
    <col min="4375" max="4376" width="9.140625" style="194"/>
    <col min="4377" max="4377" width="13.42578125" style="194" customWidth="1"/>
    <col min="4378" max="4608" width="9.140625" style="194"/>
    <col min="4609" max="4610" width="2.7109375" style="194" customWidth="1"/>
    <col min="4611" max="4611" width="15.85546875" style="194" customWidth="1"/>
    <col min="4612" max="4612" width="3.7109375" style="194" customWidth="1"/>
    <col min="4613" max="4613" width="6.7109375" style="194" customWidth="1"/>
    <col min="4614" max="4614" width="2.7109375" style="194" customWidth="1"/>
    <col min="4615" max="4616" width="6.7109375" style="194" customWidth="1"/>
    <col min="4617" max="4621" width="5.7109375" style="194" customWidth="1"/>
    <col min="4622" max="4622" width="3.140625" style="194" bestFit="1" customWidth="1"/>
    <col min="4623" max="4623" width="5.7109375" style="194" customWidth="1"/>
    <col min="4624" max="4624" width="6.7109375" style="194" customWidth="1"/>
    <col min="4625" max="4625" width="7.7109375" style="194" customWidth="1"/>
    <col min="4626" max="4626" width="5.7109375" style="194" customWidth="1"/>
    <col min="4627" max="4627" width="6.7109375" style="194" customWidth="1"/>
    <col min="4628" max="4628" width="7.7109375" style="194" customWidth="1"/>
    <col min="4629" max="4629" width="5.7109375" style="194" customWidth="1"/>
    <col min="4630" max="4630" width="2.7109375" style="194" customWidth="1"/>
    <col min="4631" max="4632" width="9.140625" style="194"/>
    <col min="4633" max="4633" width="13.42578125" style="194" customWidth="1"/>
    <col min="4634" max="4864" width="9.140625" style="194"/>
    <col min="4865" max="4866" width="2.7109375" style="194" customWidth="1"/>
    <col min="4867" max="4867" width="15.85546875" style="194" customWidth="1"/>
    <col min="4868" max="4868" width="3.7109375" style="194" customWidth="1"/>
    <col min="4869" max="4869" width="6.7109375" style="194" customWidth="1"/>
    <col min="4870" max="4870" width="2.7109375" style="194" customWidth="1"/>
    <col min="4871" max="4872" width="6.7109375" style="194" customWidth="1"/>
    <col min="4873" max="4877" width="5.7109375" style="194" customWidth="1"/>
    <col min="4878" max="4878" width="3.140625" style="194" bestFit="1" customWidth="1"/>
    <col min="4879" max="4879" width="5.7109375" style="194" customWidth="1"/>
    <col min="4880" max="4880" width="6.7109375" style="194" customWidth="1"/>
    <col min="4881" max="4881" width="7.7109375" style="194" customWidth="1"/>
    <col min="4882" max="4882" width="5.7109375" style="194" customWidth="1"/>
    <col min="4883" max="4883" width="6.7109375" style="194" customWidth="1"/>
    <col min="4884" max="4884" width="7.7109375" style="194" customWidth="1"/>
    <col min="4885" max="4885" width="5.7109375" style="194" customWidth="1"/>
    <col min="4886" max="4886" width="2.7109375" style="194" customWidth="1"/>
    <col min="4887" max="4888" width="9.140625" style="194"/>
    <col min="4889" max="4889" width="13.42578125" style="194" customWidth="1"/>
    <col min="4890" max="5120" width="9.140625" style="194"/>
    <col min="5121" max="5122" width="2.7109375" style="194" customWidth="1"/>
    <col min="5123" max="5123" width="15.85546875" style="194" customWidth="1"/>
    <col min="5124" max="5124" width="3.7109375" style="194" customWidth="1"/>
    <col min="5125" max="5125" width="6.7109375" style="194" customWidth="1"/>
    <col min="5126" max="5126" width="2.7109375" style="194" customWidth="1"/>
    <col min="5127" max="5128" width="6.7109375" style="194" customWidth="1"/>
    <col min="5129" max="5133" width="5.7109375" style="194" customWidth="1"/>
    <col min="5134" max="5134" width="3.140625" style="194" bestFit="1" customWidth="1"/>
    <col min="5135" max="5135" width="5.7109375" style="194" customWidth="1"/>
    <col min="5136" max="5136" width="6.7109375" style="194" customWidth="1"/>
    <col min="5137" max="5137" width="7.7109375" style="194" customWidth="1"/>
    <col min="5138" max="5138" width="5.7109375" style="194" customWidth="1"/>
    <col min="5139" max="5139" width="6.7109375" style="194" customWidth="1"/>
    <col min="5140" max="5140" width="7.7109375" style="194" customWidth="1"/>
    <col min="5141" max="5141" width="5.7109375" style="194" customWidth="1"/>
    <col min="5142" max="5142" width="2.7109375" style="194" customWidth="1"/>
    <col min="5143" max="5144" width="9.140625" style="194"/>
    <col min="5145" max="5145" width="13.42578125" style="194" customWidth="1"/>
    <col min="5146" max="5376" width="9.140625" style="194"/>
    <col min="5377" max="5378" width="2.7109375" style="194" customWidth="1"/>
    <col min="5379" max="5379" width="15.85546875" style="194" customWidth="1"/>
    <col min="5380" max="5380" width="3.7109375" style="194" customWidth="1"/>
    <col min="5381" max="5381" width="6.7109375" style="194" customWidth="1"/>
    <col min="5382" max="5382" width="2.7109375" style="194" customWidth="1"/>
    <col min="5383" max="5384" width="6.7109375" style="194" customWidth="1"/>
    <col min="5385" max="5389" width="5.7109375" style="194" customWidth="1"/>
    <col min="5390" max="5390" width="3.140625" style="194" bestFit="1" customWidth="1"/>
    <col min="5391" max="5391" width="5.7109375" style="194" customWidth="1"/>
    <col min="5392" max="5392" width="6.7109375" style="194" customWidth="1"/>
    <col min="5393" max="5393" width="7.7109375" style="194" customWidth="1"/>
    <col min="5394" max="5394" width="5.7109375" style="194" customWidth="1"/>
    <col min="5395" max="5395" width="6.7109375" style="194" customWidth="1"/>
    <col min="5396" max="5396" width="7.7109375" style="194" customWidth="1"/>
    <col min="5397" max="5397" width="5.7109375" style="194" customWidth="1"/>
    <col min="5398" max="5398" width="2.7109375" style="194" customWidth="1"/>
    <col min="5399" max="5400" width="9.140625" style="194"/>
    <col min="5401" max="5401" width="13.42578125" style="194" customWidth="1"/>
    <col min="5402" max="5632" width="9.140625" style="194"/>
    <col min="5633" max="5634" width="2.7109375" style="194" customWidth="1"/>
    <col min="5635" max="5635" width="15.85546875" style="194" customWidth="1"/>
    <col min="5636" max="5636" width="3.7109375" style="194" customWidth="1"/>
    <col min="5637" max="5637" width="6.7109375" style="194" customWidth="1"/>
    <col min="5638" max="5638" width="2.7109375" style="194" customWidth="1"/>
    <col min="5639" max="5640" width="6.7109375" style="194" customWidth="1"/>
    <col min="5641" max="5645" width="5.7109375" style="194" customWidth="1"/>
    <col min="5646" max="5646" width="3.140625" style="194" bestFit="1" customWidth="1"/>
    <col min="5647" max="5647" width="5.7109375" style="194" customWidth="1"/>
    <col min="5648" max="5648" width="6.7109375" style="194" customWidth="1"/>
    <col min="5649" max="5649" width="7.7109375" style="194" customWidth="1"/>
    <col min="5650" max="5650" width="5.7109375" style="194" customWidth="1"/>
    <col min="5651" max="5651" width="6.7109375" style="194" customWidth="1"/>
    <col min="5652" max="5652" width="7.7109375" style="194" customWidth="1"/>
    <col min="5653" max="5653" width="5.7109375" style="194" customWidth="1"/>
    <col min="5654" max="5654" width="2.7109375" style="194" customWidth="1"/>
    <col min="5655" max="5656" width="9.140625" style="194"/>
    <col min="5657" max="5657" width="13.42578125" style="194" customWidth="1"/>
    <col min="5658" max="5888" width="9.140625" style="194"/>
    <col min="5889" max="5890" width="2.7109375" style="194" customWidth="1"/>
    <col min="5891" max="5891" width="15.85546875" style="194" customWidth="1"/>
    <col min="5892" max="5892" width="3.7109375" style="194" customWidth="1"/>
    <col min="5893" max="5893" width="6.7109375" style="194" customWidth="1"/>
    <col min="5894" max="5894" width="2.7109375" style="194" customWidth="1"/>
    <col min="5895" max="5896" width="6.7109375" style="194" customWidth="1"/>
    <col min="5897" max="5901" width="5.7109375" style="194" customWidth="1"/>
    <col min="5902" max="5902" width="3.140625" style="194" bestFit="1" customWidth="1"/>
    <col min="5903" max="5903" width="5.7109375" style="194" customWidth="1"/>
    <col min="5904" max="5904" width="6.7109375" style="194" customWidth="1"/>
    <col min="5905" max="5905" width="7.7109375" style="194" customWidth="1"/>
    <col min="5906" max="5906" width="5.7109375" style="194" customWidth="1"/>
    <col min="5907" max="5907" width="6.7109375" style="194" customWidth="1"/>
    <col min="5908" max="5908" width="7.7109375" style="194" customWidth="1"/>
    <col min="5909" max="5909" width="5.7109375" style="194" customWidth="1"/>
    <col min="5910" max="5910" width="2.7109375" style="194" customWidth="1"/>
    <col min="5911" max="5912" width="9.140625" style="194"/>
    <col min="5913" max="5913" width="13.42578125" style="194" customWidth="1"/>
    <col min="5914" max="6144" width="9.140625" style="194"/>
    <col min="6145" max="6146" width="2.7109375" style="194" customWidth="1"/>
    <col min="6147" max="6147" width="15.85546875" style="194" customWidth="1"/>
    <col min="6148" max="6148" width="3.7109375" style="194" customWidth="1"/>
    <col min="6149" max="6149" width="6.7109375" style="194" customWidth="1"/>
    <col min="6150" max="6150" width="2.7109375" style="194" customWidth="1"/>
    <col min="6151" max="6152" width="6.7109375" style="194" customWidth="1"/>
    <col min="6153" max="6157" width="5.7109375" style="194" customWidth="1"/>
    <col min="6158" max="6158" width="3.140625" style="194" bestFit="1" customWidth="1"/>
    <col min="6159" max="6159" width="5.7109375" style="194" customWidth="1"/>
    <col min="6160" max="6160" width="6.7109375" style="194" customWidth="1"/>
    <col min="6161" max="6161" width="7.7109375" style="194" customWidth="1"/>
    <col min="6162" max="6162" width="5.7109375" style="194" customWidth="1"/>
    <col min="6163" max="6163" width="6.7109375" style="194" customWidth="1"/>
    <col min="6164" max="6164" width="7.7109375" style="194" customWidth="1"/>
    <col min="6165" max="6165" width="5.7109375" style="194" customWidth="1"/>
    <col min="6166" max="6166" width="2.7109375" style="194" customWidth="1"/>
    <col min="6167" max="6168" width="9.140625" style="194"/>
    <col min="6169" max="6169" width="13.42578125" style="194" customWidth="1"/>
    <col min="6170" max="6400" width="9.140625" style="194"/>
    <col min="6401" max="6402" width="2.7109375" style="194" customWidth="1"/>
    <col min="6403" max="6403" width="15.85546875" style="194" customWidth="1"/>
    <col min="6404" max="6404" width="3.7109375" style="194" customWidth="1"/>
    <col min="6405" max="6405" width="6.7109375" style="194" customWidth="1"/>
    <col min="6406" max="6406" width="2.7109375" style="194" customWidth="1"/>
    <col min="6407" max="6408" width="6.7109375" style="194" customWidth="1"/>
    <col min="6409" max="6413" width="5.7109375" style="194" customWidth="1"/>
    <col min="6414" max="6414" width="3.140625" style="194" bestFit="1" customWidth="1"/>
    <col min="6415" max="6415" width="5.7109375" style="194" customWidth="1"/>
    <col min="6416" max="6416" width="6.7109375" style="194" customWidth="1"/>
    <col min="6417" max="6417" width="7.7109375" style="194" customWidth="1"/>
    <col min="6418" max="6418" width="5.7109375" style="194" customWidth="1"/>
    <col min="6419" max="6419" width="6.7109375" style="194" customWidth="1"/>
    <col min="6420" max="6420" width="7.7109375" style="194" customWidth="1"/>
    <col min="6421" max="6421" width="5.7109375" style="194" customWidth="1"/>
    <col min="6422" max="6422" width="2.7109375" style="194" customWidth="1"/>
    <col min="6423" max="6424" width="9.140625" style="194"/>
    <col min="6425" max="6425" width="13.42578125" style="194" customWidth="1"/>
    <col min="6426" max="6656" width="9.140625" style="194"/>
    <col min="6657" max="6658" width="2.7109375" style="194" customWidth="1"/>
    <col min="6659" max="6659" width="15.85546875" style="194" customWidth="1"/>
    <col min="6660" max="6660" width="3.7109375" style="194" customWidth="1"/>
    <col min="6661" max="6661" width="6.7109375" style="194" customWidth="1"/>
    <col min="6662" max="6662" width="2.7109375" style="194" customWidth="1"/>
    <col min="6663" max="6664" width="6.7109375" style="194" customWidth="1"/>
    <col min="6665" max="6669" width="5.7109375" style="194" customWidth="1"/>
    <col min="6670" max="6670" width="3.140625" style="194" bestFit="1" customWidth="1"/>
    <col min="6671" max="6671" width="5.7109375" style="194" customWidth="1"/>
    <col min="6672" max="6672" width="6.7109375" style="194" customWidth="1"/>
    <col min="6673" max="6673" width="7.7109375" style="194" customWidth="1"/>
    <col min="6674" max="6674" width="5.7109375" style="194" customWidth="1"/>
    <col min="6675" max="6675" width="6.7109375" style="194" customWidth="1"/>
    <col min="6676" max="6676" width="7.7109375" style="194" customWidth="1"/>
    <col min="6677" max="6677" width="5.7109375" style="194" customWidth="1"/>
    <col min="6678" max="6678" width="2.7109375" style="194" customWidth="1"/>
    <col min="6679" max="6680" width="9.140625" style="194"/>
    <col min="6681" max="6681" width="13.42578125" style="194" customWidth="1"/>
    <col min="6682" max="6912" width="9.140625" style="194"/>
    <col min="6913" max="6914" width="2.7109375" style="194" customWidth="1"/>
    <col min="6915" max="6915" width="15.85546875" style="194" customWidth="1"/>
    <col min="6916" max="6916" width="3.7109375" style="194" customWidth="1"/>
    <col min="6917" max="6917" width="6.7109375" style="194" customWidth="1"/>
    <col min="6918" max="6918" width="2.7109375" style="194" customWidth="1"/>
    <col min="6919" max="6920" width="6.7109375" style="194" customWidth="1"/>
    <col min="6921" max="6925" width="5.7109375" style="194" customWidth="1"/>
    <col min="6926" max="6926" width="3.140625" style="194" bestFit="1" customWidth="1"/>
    <col min="6927" max="6927" width="5.7109375" style="194" customWidth="1"/>
    <col min="6928" max="6928" width="6.7109375" style="194" customWidth="1"/>
    <col min="6929" max="6929" width="7.7109375" style="194" customWidth="1"/>
    <col min="6930" max="6930" width="5.7109375" style="194" customWidth="1"/>
    <col min="6931" max="6931" width="6.7109375" style="194" customWidth="1"/>
    <col min="6932" max="6932" width="7.7109375" style="194" customWidth="1"/>
    <col min="6933" max="6933" width="5.7109375" style="194" customWidth="1"/>
    <col min="6934" max="6934" width="2.7109375" style="194" customWidth="1"/>
    <col min="6935" max="6936" width="9.140625" style="194"/>
    <col min="6937" max="6937" width="13.42578125" style="194" customWidth="1"/>
    <col min="6938" max="7168" width="9.140625" style="194"/>
    <col min="7169" max="7170" width="2.7109375" style="194" customWidth="1"/>
    <col min="7171" max="7171" width="15.85546875" style="194" customWidth="1"/>
    <col min="7172" max="7172" width="3.7109375" style="194" customWidth="1"/>
    <col min="7173" max="7173" width="6.7109375" style="194" customWidth="1"/>
    <col min="7174" max="7174" width="2.7109375" style="194" customWidth="1"/>
    <col min="7175" max="7176" width="6.7109375" style="194" customWidth="1"/>
    <col min="7177" max="7181" width="5.7109375" style="194" customWidth="1"/>
    <col min="7182" max="7182" width="3.140625" style="194" bestFit="1" customWidth="1"/>
    <col min="7183" max="7183" width="5.7109375" style="194" customWidth="1"/>
    <col min="7184" max="7184" width="6.7109375" style="194" customWidth="1"/>
    <col min="7185" max="7185" width="7.7109375" style="194" customWidth="1"/>
    <col min="7186" max="7186" width="5.7109375" style="194" customWidth="1"/>
    <col min="7187" max="7187" width="6.7109375" style="194" customWidth="1"/>
    <col min="7188" max="7188" width="7.7109375" style="194" customWidth="1"/>
    <col min="7189" max="7189" width="5.7109375" style="194" customWidth="1"/>
    <col min="7190" max="7190" width="2.7109375" style="194" customWidth="1"/>
    <col min="7191" max="7192" width="9.140625" style="194"/>
    <col min="7193" max="7193" width="13.42578125" style="194" customWidth="1"/>
    <col min="7194" max="7424" width="9.140625" style="194"/>
    <col min="7425" max="7426" width="2.7109375" style="194" customWidth="1"/>
    <col min="7427" max="7427" width="15.85546875" style="194" customWidth="1"/>
    <col min="7428" max="7428" width="3.7109375" style="194" customWidth="1"/>
    <col min="7429" max="7429" width="6.7109375" style="194" customWidth="1"/>
    <col min="7430" max="7430" width="2.7109375" style="194" customWidth="1"/>
    <col min="7431" max="7432" width="6.7109375" style="194" customWidth="1"/>
    <col min="7433" max="7437" width="5.7109375" style="194" customWidth="1"/>
    <col min="7438" max="7438" width="3.140625" style="194" bestFit="1" customWidth="1"/>
    <col min="7439" max="7439" width="5.7109375" style="194" customWidth="1"/>
    <col min="7440" max="7440" width="6.7109375" style="194" customWidth="1"/>
    <col min="7441" max="7441" width="7.7109375" style="194" customWidth="1"/>
    <col min="7442" max="7442" width="5.7109375" style="194" customWidth="1"/>
    <col min="7443" max="7443" width="6.7109375" style="194" customWidth="1"/>
    <col min="7444" max="7444" width="7.7109375" style="194" customWidth="1"/>
    <col min="7445" max="7445" width="5.7109375" style="194" customWidth="1"/>
    <col min="7446" max="7446" width="2.7109375" style="194" customWidth="1"/>
    <col min="7447" max="7448" width="9.140625" style="194"/>
    <col min="7449" max="7449" width="13.42578125" style="194" customWidth="1"/>
    <col min="7450" max="7680" width="9.140625" style="194"/>
    <col min="7681" max="7682" width="2.7109375" style="194" customWidth="1"/>
    <col min="7683" max="7683" width="15.85546875" style="194" customWidth="1"/>
    <col min="7684" max="7684" width="3.7109375" style="194" customWidth="1"/>
    <col min="7685" max="7685" width="6.7109375" style="194" customWidth="1"/>
    <col min="7686" max="7686" width="2.7109375" style="194" customWidth="1"/>
    <col min="7687" max="7688" width="6.7109375" style="194" customWidth="1"/>
    <col min="7689" max="7693" width="5.7109375" style="194" customWidth="1"/>
    <col min="7694" max="7694" width="3.140625" style="194" bestFit="1" customWidth="1"/>
    <col min="7695" max="7695" width="5.7109375" style="194" customWidth="1"/>
    <col min="7696" max="7696" width="6.7109375" style="194" customWidth="1"/>
    <col min="7697" max="7697" width="7.7109375" style="194" customWidth="1"/>
    <col min="7698" max="7698" width="5.7109375" style="194" customWidth="1"/>
    <col min="7699" max="7699" width="6.7109375" style="194" customWidth="1"/>
    <col min="7700" max="7700" width="7.7109375" style="194" customWidth="1"/>
    <col min="7701" max="7701" width="5.7109375" style="194" customWidth="1"/>
    <col min="7702" max="7702" width="2.7109375" style="194" customWidth="1"/>
    <col min="7703" max="7704" width="9.140625" style="194"/>
    <col min="7705" max="7705" width="13.42578125" style="194" customWidth="1"/>
    <col min="7706" max="7936" width="9.140625" style="194"/>
    <col min="7937" max="7938" width="2.7109375" style="194" customWidth="1"/>
    <col min="7939" max="7939" width="15.85546875" style="194" customWidth="1"/>
    <col min="7940" max="7940" width="3.7109375" style="194" customWidth="1"/>
    <col min="7941" max="7941" width="6.7109375" style="194" customWidth="1"/>
    <col min="7942" max="7942" width="2.7109375" style="194" customWidth="1"/>
    <col min="7943" max="7944" width="6.7109375" style="194" customWidth="1"/>
    <col min="7945" max="7949" width="5.7109375" style="194" customWidth="1"/>
    <col min="7950" max="7950" width="3.140625" style="194" bestFit="1" customWidth="1"/>
    <col min="7951" max="7951" width="5.7109375" style="194" customWidth="1"/>
    <col min="7952" max="7952" width="6.7109375" style="194" customWidth="1"/>
    <col min="7953" max="7953" width="7.7109375" style="194" customWidth="1"/>
    <col min="7954" max="7954" width="5.7109375" style="194" customWidth="1"/>
    <col min="7955" max="7955" width="6.7109375" style="194" customWidth="1"/>
    <col min="7956" max="7956" width="7.7109375" style="194" customWidth="1"/>
    <col min="7957" max="7957" width="5.7109375" style="194" customWidth="1"/>
    <col min="7958" max="7958" width="2.7109375" style="194" customWidth="1"/>
    <col min="7959" max="7960" width="9.140625" style="194"/>
    <col min="7961" max="7961" width="13.42578125" style="194" customWidth="1"/>
    <col min="7962" max="8192" width="9.140625" style="194"/>
    <col min="8193" max="8194" width="2.7109375" style="194" customWidth="1"/>
    <col min="8195" max="8195" width="15.85546875" style="194" customWidth="1"/>
    <col min="8196" max="8196" width="3.7109375" style="194" customWidth="1"/>
    <col min="8197" max="8197" width="6.7109375" style="194" customWidth="1"/>
    <col min="8198" max="8198" width="2.7109375" style="194" customWidth="1"/>
    <col min="8199" max="8200" width="6.7109375" style="194" customWidth="1"/>
    <col min="8201" max="8205" width="5.7109375" style="194" customWidth="1"/>
    <col min="8206" max="8206" width="3.140625" style="194" bestFit="1" customWidth="1"/>
    <col min="8207" max="8207" width="5.7109375" style="194" customWidth="1"/>
    <col min="8208" max="8208" width="6.7109375" style="194" customWidth="1"/>
    <col min="8209" max="8209" width="7.7109375" style="194" customWidth="1"/>
    <col min="8210" max="8210" width="5.7109375" style="194" customWidth="1"/>
    <col min="8211" max="8211" width="6.7109375" style="194" customWidth="1"/>
    <col min="8212" max="8212" width="7.7109375" style="194" customWidth="1"/>
    <col min="8213" max="8213" width="5.7109375" style="194" customWidth="1"/>
    <col min="8214" max="8214" width="2.7109375" style="194" customWidth="1"/>
    <col min="8215" max="8216" width="9.140625" style="194"/>
    <col min="8217" max="8217" width="13.42578125" style="194" customWidth="1"/>
    <col min="8218" max="8448" width="9.140625" style="194"/>
    <col min="8449" max="8450" width="2.7109375" style="194" customWidth="1"/>
    <col min="8451" max="8451" width="15.85546875" style="194" customWidth="1"/>
    <col min="8452" max="8452" width="3.7109375" style="194" customWidth="1"/>
    <col min="8453" max="8453" width="6.7109375" style="194" customWidth="1"/>
    <col min="8454" max="8454" width="2.7109375" style="194" customWidth="1"/>
    <col min="8455" max="8456" width="6.7109375" style="194" customWidth="1"/>
    <col min="8457" max="8461" width="5.7109375" style="194" customWidth="1"/>
    <col min="8462" max="8462" width="3.140625" style="194" bestFit="1" customWidth="1"/>
    <col min="8463" max="8463" width="5.7109375" style="194" customWidth="1"/>
    <col min="8464" max="8464" width="6.7109375" style="194" customWidth="1"/>
    <col min="8465" max="8465" width="7.7109375" style="194" customWidth="1"/>
    <col min="8466" max="8466" width="5.7109375" style="194" customWidth="1"/>
    <col min="8467" max="8467" width="6.7109375" style="194" customWidth="1"/>
    <col min="8468" max="8468" width="7.7109375" style="194" customWidth="1"/>
    <col min="8469" max="8469" width="5.7109375" style="194" customWidth="1"/>
    <col min="8470" max="8470" width="2.7109375" style="194" customWidth="1"/>
    <col min="8471" max="8472" width="9.140625" style="194"/>
    <col min="8473" max="8473" width="13.42578125" style="194" customWidth="1"/>
    <col min="8474" max="8704" width="9.140625" style="194"/>
    <col min="8705" max="8706" width="2.7109375" style="194" customWidth="1"/>
    <col min="8707" max="8707" width="15.85546875" style="194" customWidth="1"/>
    <col min="8708" max="8708" width="3.7109375" style="194" customWidth="1"/>
    <col min="8709" max="8709" width="6.7109375" style="194" customWidth="1"/>
    <col min="8710" max="8710" width="2.7109375" style="194" customWidth="1"/>
    <col min="8711" max="8712" width="6.7109375" style="194" customWidth="1"/>
    <col min="8713" max="8717" width="5.7109375" style="194" customWidth="1"/>
    <col min="8718" max="8718" width="3.140625" style="194" bestFit="1" customWidth="1"/>
    <col min="8719" max="8719" width="5.7109375" style="194" customWidth="1"/>
    <col min="8720" max="8720" width="6.7109375" style="194" customWidth="1"/>
    <col min="8721" max="8721" width="7.7109375" style="194" customWidth="1"/>
    <col min="8722" max="8722" width="5.7109375" style="194" customWidth="1"/>
    <col min="8723" max="8723" width="6.7109375" style="194" customWidth="1"/>
    <col min="8724" max="8724" width="7.7109375" style="194" customWidth="1"/>
    <col min="8725" max="8725" width="5.7109375" style="194" customWidth="1"/>
    <col min="8726" max="8726" width="2.7109375" style="194" customWidth="1"/>
    <col min="8727" max="8728" width="9.140625" style="194"/>
    <col min="8729" max="8729" width="13.42578125" style="194" customWidth="1"/>
    <col min="8730" max="8960" width="9.140625" style="194"/>
    <col min="8961" max="8962" width="2.7109375" style="194" customWidth="1"/>
    <col min="8963" max="8963" width="15.85546875" style="194" customWidth="1"/>
    <col min="8964" max="8964" width="3.7109375" style="194" customWidth="1"/>
    <col min="8965" max="8965" width="6.7109375" style="194" customWidth="1"/>
    <col min="8966" max="8966" width="2.7109375" style="194" customWidth="1"/>
    <col min="8967" max="8968" width="6.7109375" style="194" customWidth="1"/>
    <col min="8969" max="8973" width="5.7109375" style="194" customWidth="1"/>
    <col min="8974" max="8974" width="3.140625" style="194" bestFit="1" customWidth="1"/>
    <col min="8975" max="8975" width="5.7109375" style="194" customWidth="1"/>
    <col min="8976" max="8976" width="6.7109375" style="194" customWidth="1"/>
    <col min="8977" max="8977" width="7.7109375" style="194" customWidth="1"/>
    <col min="8978" max="8978" width="5.7109375" style="194" customWidth="1"/>
    <col min="8979" max="8979" width="6.7109375" style="194" customWidth="1"/>
    <col min="8980" max="8980" width="7.7109375" style="194" customWidth="1"/>
    <col min="8981" max="8981" width="5.7109375" style="194" customWidth="1"/>
    <col min="8982" max="8982" width="2.7109375" style="194" customWidth="1"/>
    <col min="8983" max="8984" width="9.140625" style="194"/>
    <col min="8985" max="8985" width="13.42578125" style="194" customWidth="1"/>
    <col min="8986" max="9216" width="9.140625" style="194"/>
    <col min="9217" max="9218" width="2.7109375" style="194" customWidth="1"/>
    <col min="9219" max="9219" width="15.85546875" style="194" customWidth="1"/>
    <col min="9220" max="9220" width="3.7109375" style="194" customWidth="1"/>
    <col min="9221" max="9221" width="6.7109375" style="194" customWidth="1"/>
    <col min="9222" max="9222" width="2.7109375" style="194" customWidth="1"/>
    <col min="9223" max="9224" width="6.7109375" style="194" customWidth="1"/>
    <col min="9225" max="9229" width="5.7109375" style="194" customWidth="1"/>
    <col min="9230" max="9230" width="3.140625" style="194" bestFit="1" customWidth="1"/>
    <col min="9231" max="9231" width="5.7109375" style="194" customWidth="1"/>
    <col min="9232" max="9232" width="6.7109375" style="194" customWidth="1"/>
    <col min="9233" max="9233" width="7.7109375" style="194" customWidth="1"/>
    <col min="9234" max="9234" width="5.7109375" style="194" customWidth="1"/>
    <col min="9235" max="9235" width="6.7109375" style="194" customWidth="1"/>
    <col min="9236" max="9236" width="7.7109375" style="194" customWidth="1"/>
    <col min="9237" max="9237" width="5.7109375" style="194" customWidth="1"/>
    <col min="9238" max="9238" width="2.7109375" style="194" customWidth="1"/>
    <col min="9239" max="9240" width="9.140625" style="194"/>
    <col min="9241" max="9241" width="13.42578125" style="194" customWidth="1"/>
    <col min="9242" max="9472" width="9.140625" style="194"/>
    <col min="9473" max="9474" width="2.7109375" style="194" customWidth="1"/>
    <col min="9475" max="9475" width="15.85546875" style="194" customWidth="1"/>
    <col min="9476" max="9476" width="3.7109375" style="194" customWidth="1"/>
    <col min="9477" max="9477" width="6.7109375" style="194" customWidth="1"/>
    <col min="9478" max="9478" width="2.7109375" style="194" customWidth="1"/>
    <col min="9479" max="9480" width="6.7109375" style="194" customWidth="1"/>
    <col min="9481" max="9485" width="5.7109375" style="194" customWidth="1"/>
    <col min="9486" max="9486" width="3.140625" style="194" bestFit="1" customWidth="1"/>
    <col min="9487" max="9487" width="5.7109375" style="194" customWidth="1"/>
    <col min="9488" max="9488" width="6.7109375" style="194" customWidth="1"/>
    <col min="9489" max="9489" width="7.7109375" style="194" customWidth="1"/>
    <col min="9490" max="9490" width="5.7109375" style="194" customWidth="1"/>
    <col min="9491" max="9491" width="6.7109375" style="194" customWidth="1"/>
    <col min="9492" max="9492" width="7.7109375" style="194" customWidth="1"/>
    <col min="9493" max="9493" width="5.7109375" style="194" customWidth="1"/>
    <col min="9494" max="9494" width="2.7109375" style="194" customWidth="1"/>
    <col min="9495" max="9496" width="9.140625" style="194"/>
    <col min="9497" max="9497" width="13.42578125" style="194" customWidth="1"/>
    <col min="9498" max="9728" width="9.140625" style="194"/>
    <col min="9729" max="9730" width="2.7109375" style="194" customWidth="1"/>
    <col min="9731" max="9731" width="15.85546875" style="194" customWidth="1"/>
    <col min="9732" max="9732" width="3.7109375" style="194" customWidth="1"/>
    <col min="9733" max="9733" width="6.7109375" style="194" customWidth="1"/>
    <col min="9734" max="9734" width="2.7109375" style="194" customWidth="1"/>
    <col min="9735" max="9736" width="6.7109375" style="194" customWidth="1"/>
    <col min="9737" max="9741" width="5.7109375" style="194" customWidth="1"/>
    <col min="9742" max="9742" width="3.140625" style="194" bestFit="1" customWidth="1"/>
    <col min="9743" max="9743" width="5.7109375" style="194" customWidth="1"/>
    <col min="9744" max="9744" width="6.7109375" style="194" customWidth="1"/>
    <col min="9745" max="9745" width="7.7109375" style="194" customWidth="1"/>
    <col min="9746" max="9746" width="5.7109375" style="194" customWidth="1"/>
    <col min="9747" max="9747" width="6.7109375" style="194" customWidth="1"/>
    <col min="9748" max="9748" width="7.7109375" style="194" customWidth="1"/>
    <col min="9749" max="9749" width="5.7109375" style="194" customWidth="1"/>
    <col min="9750" max="9750" width="2.7109375" style="194" customWidth="1"/>
    <col min="9751" max="9752" width="9.140625" style="194"/>
    <col min="9753" max="9753" width="13.42578125" style="194" customWidth="1"/>
    <col min="9754" max="9984" width="9.140625" style="194"/>
    <col min="9985" max="9986" width="2.7109375" style="194" customWidth="1"/>
    <col min="9987" max="9987" width="15.85546875" style="194" customWidth="1"/>
    <col min="9988" max="9988" width="3.7109375" style="194" customWidth="1"/>
    <col min="9989" max="9989" width="6.7109375" style="194" customWidth="1"/>
    <col min="9990" max="9990" width="2.7109375" style="194" customWidth="1"/>
    <col min="9991" max="9992" width="6.7109375" style="194" customWidth="1"/>
    <col min="9993" max="9997" width="5.7109375" style="194" customWidth="1"/>
    <col min="9998" max="9998" width="3.140625" style="194" bestFit="1" customWidth="1"/>
    <col min="9999" max="9999" width="5.7109375" style="194" customWidth="1"/>
    <col min="10000" max="10000" width="6.7109375" style="194" customWidth="1"/>
    <col min="10001" max="10001" width="7.7109375" style="194" customWidth="1"/>
    <col min="10002" max="10002" width="5.7109375" style="194" customWidth="1"/>
    <col min="10003" max="10003" width="6.7109375" style="194" customWidth="1"/>
    <col min="10004" max="10004" width="7.7109375" style="194" customWidth="1"/>
    <col min="10005" max="10005" width="5.7109375" style="194" customWidth="1"/>
    <col min="10006" max="10006" width="2.7109375" style="194" customWidth="1"/>
    <col min="10007" max="10008" width="9.140625" style="194"/>
    <col min="10009" max="10009" width="13.42578125" style="194" customWidth="1"/>
    <col min="10010" max="10240" width="9.140625" style="194"/>
    <col min="10241" max="10242" width="2.7109375" style="194" customWidth="1"/>
    <col min="10243" max="10243" width="15.85546875" style="194" customWidth="1"/>
    <col min="10244" max="10244" width="3.7109375" style="194" customWidth="1"/>
    <col min="10245" max="10245" width="6.7109375" style="194" customWidth="1"/>
    <col min="10246" max="10246" width="2.7109375" style="194" customWidth="1"/>
    <col min="10247" max="10248" width="6.7109375" style="194" customWidth="1"/>
    <col min="10249" max="10253" width="5.7109375" style="194" customWidth="1"/>
    <col min="10254" max="10254" width="3.140625" style="194" bestFit="1" customWidth="1"/>
    <col min="10255" max="10255" width="5.7109375" style="194" customWidth="1"/>
    <col min="10256" max="10256" width="6.7109375" style="194" customWidth="1"/>
    <col min="10257" max="10257" width="7.7109375" style="194" customWidth="1"/>
    <col min="10258" max="10258" width="5.7109375" style="194" customWidth="1"/>
    <col min="10259" max="10259" width="6.7109375" style="194" customWidth="1"/>
    <col min="10260" max="10260" width="7.7109375" style="194" customWidth="1"/>
    <col min="10261" max="10261" width="5.7109375" style="194" customWidth="1"/>
    <col min="10262" max="10262" width="2.7109375" style="194" customWidth="1"/>
    <col min="10263" max="10264" width="9.140625" style="194"/>
    <col min="10265" max="10265" width="13.42578125" style="194" customWidth="1"/>
    <col min="10266" max="10496" width="9.140625" style="194"/>
    <col min="10497" max="10498" width="2.7109375" style="194" customWidth="1"/>
    <col min="10499" max="10499" width="15.85546875" style="194" customWidth="1"/>
    <col min="10500" max="10500" width="3.7109375" style="194" customWidth="1"/>
    <col min="10501" max="10501" width="6.7109375" style="194" customWidth="1"/>
    <col min="10502" max="10502" width="2.7109375" style="194" customWidth="1"/>
    <col min="10503" max="10504" width="6.7109375" style="194" customWidth="1"/>
    <col min="10505" max="10509" width="5.7109375" style="194" customWidth="1"/>
    <col min="10510" max="10510" width="3.140625" style="194" bestFit="1" customWidth="1"/>
    <col min="10511" max="10511" width="5.7109375" style="194" customWidth="1"/>
    <col min="10512" max="10512" width="6.7109375" style="194" customWidth="1"/>
    <col min="10513" max="10513" width="7.7109375" style="194" customWidth="1"/>
    <col min="10514" max="10514" width="5.7109375" style="194" customWidth="1"/>
    <col min="10515" max="10515" width="6.7109375" style="194" customWidth="1"/>
    <col min="10516" max="10516" width="7.7109375" style="194" customWidth="1"/>
    <col min="10517" max="10517" width="5.7109375" style="194" customWidth="1"/>
    <col min="10518" max="10518" width="2.7109375" style="194" customWidth="1"/>
    <col min="10519" max="10520" width="9.140625" style="194"/>
    <col min="10521" max="10521" width="13.42578125" style="194" customWidth="1"/>
    <col min="10522" max="10752" width="9.140625" style="194"/>
    <col min="10753" max="10754" width="2.7109375" style="194" customWidth="1"/>
    <col min="10755" max="10755" width="15.85546875" style="194" customWidth="1"/>
    <col min="10756" max="10756" width="3.7109375" style="194" customWidth="1"/>
    <col min="10757" max="10757" width="6.7109375" style="194" customWidth="1"/>
    <col min="10758" max="10758" width="2.7109375" style="194" customWidth="1"/>
    <col min="10759" max="10760" width="6.7109375" style="194" customWidth="1"/>
    <col min="10761" max="10765" width="5.7109375" style="194" customWidth="1"/>
    <col min="10766" max="10766" width="3.140625" style="194" bestFit="1" customWidth="1"/>
    <col min="10767" max="10767" width="5.7109375" style="194" customWidth="1"/>
    <col min="10768" max="10768" width="6.7109375" style="194" customWidth="1"/>
    <col min="10769" max="10769" width="7.7109375" style="194" customWidth="1"/>
    <col min="10770" max="10770" width="5.7109375" style="194" customWidth="1"/>
    <col min="10771" max="10771" width="6.7109375" style="194" customWidth="1"/>
    <col min="10772" max="10772" width="7.7109375" style="194" customWidth="1"/>
    <col min="10773" max="10773" width="5.7109375" style="194" customWidth="1"/>
    <col min="10774" max="10774" width="2.7109375" style="194" customWidth="1"/>
    <col min="10775" max="10776" width="9.140625" style="194"/>
    <col min="10777" max="10777" width="13.42578125" style="194" customWidth="1"/>
    <col min="10778" max="11008" width="9.140625" style="194"/>
    <col min="11009" max="11010" width="2.7109375" style="194" customWidth="1"/>
    <col min="11011" max="11011" width="15.85546875" style="194" customWidth="1"/>
    <col min="11012" max="11012" width="3.7109375" style="194" customWidth="1"/>
    <col min="11013" max="11013" width="6.7109375" style="194" customWidth="1"/>
    <col min="11014" max="11014" width="2.7109375" style="194" customWidth="1"/>
    <col min="11015" max="11016" width="6.7109375" style="194" customWidth="1"/>
    <col min="11017" max="11021" width="5.7109375" style="194" customWidth="1"/>
    <col min="11022" max="11022" width="3.140625" style="194" bestFit="1" customWidth="1"/>
    <col min="11023" max="11023" width="5.7109375" style="194" customWidth="1"/>
    <col min="11024" max="11024" width="6.7109375" style="194" customWidth="1"/>
    <col min="11025" max="11025" width="7.7109375" style="194" customWidth="1"/>
    <col min="11026" max="11026" width="5.7109375" style="194" customWidth="1"/>
    <col min="11027" max="11027" width="6.7109375" style="194" customWidth="1"/>
    <col min="11028" max="11028" width="7.7109375" style="194" customWidth="1"/>
    <col min="11029" max="11029" width="5.7109375" style="194" customWidth="1"/>
    <col min="11030" max="11030" width="2.7109375" style="194" customWidth="1"/>
    <col min="11031" max="11032" width="9.140625" style="194"/>
    <col min="11033" max="11033" width="13.42578125" style="194" customWidth="1"/>
    <col min="11034" max="11264" width="9.140625" style="194"/>
    <col min="11265" max="11266" width="2.7109375" style="194" customWidth="1"/>
    <col min="11267" max="11267" width="15.85546875" style="194" customWidth="1"/>
    <col min="11268" max="11268" width="3.7109375" style="194" customWidth="1"/>
    <col min="11269" max="11269" width="6.7109375" style="194" customWidth="1"/>
    <col min="11270" max="11270" width="2.7109375" style="194" customWidth="1"/>
    <col min="11271" max="11272" width="6.7109375" style="194" customWidth="1"/>
    <col min="11273" max="11277" width="5.7109375" style="194" customWidth="1"/>
    <col min="11278" max="11278" width="3.140625" style="194" bestFit="1" customWidth="1"/>
    <col min="11279" max="11279" width="5.7109375" style="194" customWidth="1"/>
    <col min="11280" max="11280" width="6.7109375" style="194" customWidth="1"/>
    <col min="11281" max="11281" width="7.7109375" style="194" customWidth="1"/>
    <col min="11282" max="11282" width="5.7109375" style="194" customWidth="1"/>
    <col min="11283" max="11283" width="6.7109375" style="194" customWidth="1"/>
    <col min="11284" max="11284" width="7.7109375" style="194" customWidth="1"/>
    <col min="11285" max="11285" width="5.7109375" style="194" customWidth="1"/>
    <col min="11286" max="11286" width="2.7109375" style="194" customWidth="1"/>
    <col min="11287" max="11288" width="9.140625" style="194"/>
    <col min="11289" max="11289" width="13.42578125" style="194" customWidth="1"/>
    <col min="11290" max="11520" width="9.140625" style="194"/>
    <col min="11521" max="11522" width="2.7109375" style="194" customWidth="1"/>
    <col min="11523" max="11523" width="15.85546875" style="194" customWidth="1"/>
    <col min="11524" max="11524" width="3.7109375" style="194" customWidth="1"/>
    <col min="11525" max="11525" width="6.7109375" style="194" customWidth="1"/>
    <col min="11526" max="11526" width="2.7109375" style="194" customWidth="1"/>
    <col min="11527" max="11528" width="6.7109375" style="194" customWidth="1"/>
    <col min="11529" max="11533" width="5.7109375" style="194" customWidth="1"/>
    <col min="11534" max="11534" width="3.140625" style="194" bestFit="1" customWidth="1"/>
    <col min="11535" max="11535" width="5.7109375" style="194" customWidth="1"/>
    <col min="11536" max="11536" width="6.7109375" style="194" customWidth="1"/>
    <col min="11537" max="11537" width="7.7109375" style="194" customWidth="1"/>
    <col min="11538" max="11538" width="5.7109375" style="194" customWidth="1"/>
    <col min="11539" max="11539" width="6.7109375" style="194" customWidth="1"/>
    <col min="11540" max="11540" width="7.7109375" style="194" customWidth="1"/>
    <col min="11541" max="11541" width="5.7109375" style="194" customWidth="1"/>
    <col min="11542" max="11542" width="2.7109375" style="194" customWidth="1"/>
    <col min="11543" max="11544" width="9.140625" style="194"/>
    <col min="11545" max="11545" width="13.42578125" style="194" customWidth="1"/>
    <col min="11546" max="11776" width="9.140625" style="194"/>
    <col min="11777" max="11778" width="2.7109375" style="194" customWidth="1"/>
    <col min="11779" max="11779" width="15.85546875" style="194" customWidth="1"/>
    <col min="11780" max="11780" width="3.7109375" style="194" customWidth="1"/>
    <col min="11781" max="11781" width="6.7109375" style="194" customWidth="1"/>
    <col min="11782" max="11782" width="2.7109375" style="194" customWidth="1"/>
    <col min="11783" max="11784" width="6.7109375" style="194" customWidth="1"/>
    <col min="11785" max="11789" width="5.7109375" style="194" customWidth="1"/>
    <col min="11790" max="11790" width="3.140625" style="194" bestFit="1" customWidth="1"/>
    <col min="11791" max="11791" width="5.7109375" style="194" customWidth="1"/>
    <col min="11792" max="11792" width="6.7109375" style="194" customWidth="1"/>
    <col min="11793" max="11793" width="7.7109375" style="194" customWidth="1"/>
    <col min="11794" max="11794" width="5.7109375" style="194" customWidth="1"/>
    <col min="11795" max="11795" width="6.7109375" style="194" customWidth="1"/>
    <col min="11796" max="11796" width="7.7109375" style="194" customWidth="1"/>
    <col min="11797" max="11797" width="5.7109375" style="194" customWidth="1"/>
    <col min="11798" max="11798" width="2.7109375" style="194" customWidth="1"/>
    <col min="11799" max="11800" width="9.140625" style="194"/>
    <col min="11801" max="11801" width="13.42578125" style="194" customWidth="1"/>
    <col min="11802" max="12032" width="9.140625" style="194"/>
    <col min="12033" max="12034" width="2.7109375" style="194" customWidth="1"/>
    <col min="12035" max="12035" width="15.85546875" style="194" customWidth="1"/>
    <col min="12036" max="12036" width="3.7109375" style="194" customWidth="1"/>
    <col min="12037" max="12037" width="6.7109375" style="194" customWidth="1"/>
    <col min="12038" max="12038" width="2.7109375" style="194" customWidth="1"/>
    <col min="12039" max="12040" width="6.7109375" style="194" customWidth="1"/>
    <col min="12041" max="12045" width="5.7109375" style="194" customWidth="1"/>
    <col min="12046" max="12046" width="3.140625" style="194" bestFit="1" customWidth="1"/>
    <col min="12047" max="12047" width="5.7109375" style="194" customWidth="1"/>
    <col min="12048" max="12048" width="6.7109375" style="194" customWidth="1"/>
    <col min="12049" max="12049" width="7.7109375" style="194" customWidth="1"/>
    <col min="12050" max="12050" width="5.7109375" style="194" customWidth="1"/>
    <col min="12051" max="12051" width="6.7109375" style="194" customWidth="1"/>
    <col min="12052" max="12052" width="7.7109375" style="194" customWidth="1"/>
    <col min="12053" max="12053" width="5.7109375" style="194" customWidth="1"/>
    <col min="12054" max="12054" width="2.7109375" style="194" customWidth="1"/>
    <col min="12055" max="12056" width="9.140625" style="194"/>
    <col min="12057" max="12057" width="13.42578125" style="194" customWidth="1"/>
    <col min="12058" max="12288" width="9.140625" style="194"/>
    <col min="12289" max="12290" width="2.7109375" style="194" customWidth="1"/>
    <col min="12291" max="12291" width="15.85546875" style="194" customWidth="1"/>
    <col min="12292" max="12292" width="3.7109375" style="194" customWidth="1"/>
    <col min="12293" max="12293" width="6.7109375" style="194" customWidth="1"/>
    <col min="12294" max="12294" width="2.7109375" style="194" customWidth="1"/>
    <col min="12295" max="12296" width="6.7109375" style="194" customWidth="1"/>
    <col min="12297" max="12301" width="5.7109375" style="194" customWidth="1"/>
    <col min="12302" max="12302" width="3.140625" style="194" bestFit="1" customWidth="1"/>
    <col min="12303" max="12303" width="5.7109375" style="194" customWidth="1"/>
    <col min="12304" max="12304" width="6.7109375" style="194" customWidth="1"/>
    <col min="12305" max="12305" width="7.7109375" style="194" customWidth="1"/>
    <col min="12306" max="12306" width="5.7109375" style="194" customWidth="1"/>
    <col min="12307" max="12307" width="6.7109375" style="194" customWidth="1"/>
    <col min="12308" max="12308" width="7.7109375" style="194" customWidth="1"/>
    <col min="12309" max="12309" width="5.7109375" style="194" customWidth="1"/>
    <col min="12310" max="12310" width="2.7109375" style="194" customWidth="1"/>
    <col min="12311" max="12312" width="9.140625" style="194"/>
    <col min="12313" max="12313" width="13.42578125" style="194" customWidth="1"/>
    <col min="12314" max="12544" width="9.140625" style="194"/>
    <col min="12545" max="12546" width="2.7109375" style="194" customWidth="1"/>
    <col min="12547" max="12547" width="15.85546875" style="194" customWidth="1"/>
    <col min="12548" max="12548" width="3.7109375" style="194" customWidth="1"/>
    <col min="12549" max="12549" width="6.7109375" style="194" customWidth="1"/>
    <col min="12550" max="12550" width="2.7109375" style="194" customWidth="1"/>
    <col min="12551" max="12552" width="6.7109375" style="194" customWidth="1"/>
    <col min="12553" max="12557" width="5.7109375" style="194" customWidth="1"/>
    <col min="12558" max="12558" width="3.140625" style="194" bestFit="1" customWidth="1"/>
    <col min="12559" max="12559" width="5.7109375" style="194" customWidth="1"/>
    <col min="12560" max="12560" width="6.7109375" style="194" customWidth="1"/>
    <col min="12561" max="12561" width="7.7109375" style="194" customWidth="1"/>
    <col min="12562" max="12562" width="5.7109375" style="194" customWidth="1"/>
    <col min="12563" max="12563" width="6.7109375" style="194" customWidth="1"/>
    <col min="12564" max="12564" width="7.7109375" style="194" customWidth="1"/>
    <col min="12565" max="12565" width="5.7109375" style="194" customWidth="1"/>
    <col min="12566" max="12566" width="2.7109375" style="194" customWidth="1"/>
    <col min="12567" max="12568" width="9.140625" style="194"/>
    <col min="12569" max="12569" width="13.42578125" style="194" customWidth="1"/>
    <col min="12570" max="12800" width="9.140625" style="194"/>
    <col min="12801" max="12802" width="2.7109375" style="194" customWidth="1"/>
    <col min="12803" max="12803" width="15.85546875" style="194" customWidth="1"/>
    <col min="12804" max="12804" width="3.7109375" style="194" customWidth="1"/>
    <col min="12805" max="12805" width="6.7109375" style="194" customWidth="1"/>
    <col min="12806" max="12806" width="2.7109375" style="194" customWidth="1"/>
    <col min="12807" max="12808" width="6.7109375" style="194" customWidth="1"/>
    <col min="12809" max="12813" width="5.7109375" style="194" customWidth="1"/>
    <col min="12814" max="12814" width="3.140625" style="194" bestFit="1" customWidth="1"/>
    <col min="12815" max="12815" width="5.7109375" style="194" customWidth="1"/>
    <col min="12816" max="12816" width="6.7109375" style="194" customWidth="1"/>
    <col min="12817" max="12817" width="7.7109375" style="194" customWidth="1"/>
    <col min="12818" max="12818" width="5.7109375" style="194" customWidth="1"/>
    <col min="12819" max="12819" width="6.7109375" style="194" customWidth="1"/>
    <col min="12820" max="12820" width="7.7109375" style="194" customWidth="1"/>
    <col min="12821" max="12821" width="5.7109375" style="194" customWidth="1"/>
    <col min="12822" max="12822" width="2.7109375" style="194" customWidth="1"/>
    <col min="12823" max="12824" width="9.140625" style="194"/>
    <col min="12825" max="12825" width="13.42578125" style="194" customWidth="1"/>
    <col min="12826" max="13056" width="9.140625" style="194"/>
    <col min="13057" max="13058" width="2.7109375" style="194" customWidth="1"/>
    <col min="13059" max="13059" width="15.85546875" style="194" customWidth="1"/>
    <col min="13060" max="13060" width="3.7109375" style="194" customWidth="1"/>
    <col min="13061" max="13061" width="6.7109375" style="194" customWidth="1"/>
    <col min="13062" max="13062" width="2.7109375" style="194" customWidth="1"/>
    <col min="13063" max="13064" width="6.7109375" style="194" customWidth="1"/>
    <col min="13065" max="13069" width="5.7109375" style="194" customWidth="1"/>
    <col min="13070" max="13070" width="3.140625" style="194" bestFit="1" customWidth="1"/>
    <col min="13071" max="13071" width="5.7109375" style="194" customWidth="1"/>
    <col min="13072" max="13072" width="6.7109375" style="194" customWidth="1"/>
    <col min="13073" max="13073" width="7.7109375" style="194" customWidth="1"/>
    <col min="13074" max="13074" width="5.7109375" style="194" customWidth="1"/>
    <col min="13075" max="13075" width="6.7109375" style="194" customWidth="1"/>
    <col min="13076" max="13076" width="7.7109375" style="194" customWidth="1"/>
    <col min="13077" max="13077" width="5.7109375" style="194" customWidth="1"/>
    <col min="13078" max="13078" width="2.7109375" style="194" customWidth="1"/>
    <col min="13079" max="13080" width="9.140625" style="194"/>
    <col min="13081" max="13081" width="13.42578125" style="194" customWidth="1"/>
    <col min="13082" max="13312" width="9.140625" style="194"/>
    <col min="13313" max="13314" width="2.7109375" style="194" customWidth="1"/>
    <col min="13315" max="13315" width="15.85546875" style="194" customWidth="1"/>
    <col min="13316" max="13316" width="3.7109375" style="194" customWidth="1"/>
    <col min="13317" max="13317" width="6.7109375" style="194" customWidth="1"/>
    <col min="13318" max="13318" width="2.7109375" style="194" customWidth="1"/>
    <col min="13319" max="13320" width="6.7109375" style="194" customWidth="1"/>
    <col min="13321" max="13325" width="5.7109375" style="194" customWidth="1"/>
    <col min="13326" max="13326" width="3.140625" style="194" bestFit="1" customWidth="1"/>
    <col min="13327" max="13327" width="5.7109375" style="194" customWidth="1"/>
    <col min="13328" max="13328" width="6.7109375" style="194" customWidth="1"/>
    <col min="13329" max="13329" width="7.7109375" style="194" customWidth="1"/>
    <col min="13330" max="13330" width="5.7109375" style="194" customWidth="1"/>
    <col min="13331" max="13331" width="6.7109375" style="194" customWidth="1"/>
    <col min="13332" max="13332" width="7.7109375" style="194" customWidth="1"/>
    <col min="13333" max="13333" width="5.7109375" style="194" customWidth="1"/>
    <col min="13334" max="13334" width="2.7109375" style="194" customWidth="1"/>
    <col min="13335" max="13336" width="9.140625" style="194"/>
    <col min="13337" max="13337" width="13.42578125" style="194" customWidth="1"/>
    <col min="13338" max="13568" width="9.140625" style="194"/>
    <col min="13569" max="13570" width="2.7109375" style="194" customWidth="1"/>
    <col min="13571" max="13571" width="15.85546875" style="194" customWidth="1"/>
    <col min="13572" max="13572" width="3.7109375" style="194" customWidth="1"/>
    <col min="13573" max="13573" width="6.7109375" style="194" customWidth="1"/>
    <col min="13574" max="13574" width="2.7109375" style="194" customWidth="1"/>
    <col min="13575" max="13576" width="6.7109375" style="194" customWidth="1"/>
    <col min="13577" max="13581" width="5.7109375" style="194" customWidth="1"/>
    <col min="13582" max="13582" width="3.140625" style="194" bestFit="1" customWidth="1"/>
    <col min="13583" max="13583" width="5.7109375" style="194" customWidth="1"/>
    <col min="13584" max="13584" width="6.7109375" style="194" customWidth="1"/>
    <col min="13585" max="13585" width="7.7109375" style="194" customWidth="1"/>
    <col min="13586" max="13586" width="5.7109375" style="194" customWidth="1"/>
    <col min="13587" max="13587" width="6.7109375" style="194" customWidth="1"/>
    <col min="13588" max="13588" width="7.7109375" style="194" customWidth="1"/>
    <col min="13589" max="13589" width="5.7109375" style="194" customWidth="1"/>
    <col min="13590" max="13590" width="2.7109375" style="194" customWidth="1"/>
    <col min="13591" max="13592" width="9.140625" style="194"/>
    <col min="13593" max="13593" width="13.42578125" style="194" customWidth="1"/>
    <col min="13594" max="13824" width="9.140625" style="194"/>
    <col min="13825" max="13826" width="2.7109375" style="194" customWidth="1"/>
    <col min="13827" max="13827" width="15.85546875" style="194" customWidth="1"/>
    <col min="13828" max="13828" width="3.7109375" style="194" customWidth="1"/>
    <col min="13829" max="13829" width="6.7109375" style="194" customWidth="1"/>
    <col min="13830" max="13830" width="2.7109375" style="194" customWidth="1"/>
    <col min="13831" max="13832" width="6.7109375" style="194" customWidth="1"/>
    <col min="13833" max="13837" width="5.7109375" style="194" customWidth="1"/>
    <col min="13838" max="13838" width="3.140625" style="194" bestFit="1" customWidth="1"/>
    <col min="13839" max="13839" width="5.7109375" style="194" customWidth="1"/>
    <col min="13840" max="13840" width="6.7109375" style="194" customWidth="1"/>
    <col min="13841" max="13841" width="7.7109375" style="194" customWidth="1"/>
    <col min="13842" max="13842" width="5.7109375" style="194" customWidth="1"/>
    <col min="13843" max="13843" width="6.7109375" style="194" customWidth="1"/>
    <col min="13844" max="13844" width="7.7109375" style="194" customWidth="1"/>
    <col min="13845" max="13845" width="5.7109375" style="194" customWidth="1"/>
    <col min="13846" max="13846" width="2.7109375" style="194" customWidth="1"/>
    <col min="13847" max="13848" width="9.140625" style="194"/>
    <col min="13849" max="13849" width="13.42578125" style="194" customWidth="1"/>
    <col min="13850" max="14080" width="9.140625" style="194"/>
    <col min="14081" max="14082" width="2.7109375" style="194" customWidth="1"/>
    <col min="14083" max="14083" width="15.85546875" style="194" customWidth="1"/>
    <col min="14084" max="14084" width="3.7109375" style="194" customWidth="1"/>
    <col min="14085" max="14085" width="6.7109375" style="194" customWidth="1"/>
    <col min="14086" max="14086" width="2.7109375" style="194" customWidth="1"/>
    <col min="14087" max="14088" width="6.7109375" style="194" customWidth="1"/>
    <col min="14089" max="14093" width="5.7109375" style="194" customWidth="1"/>
    <col min="14094" max="14094" width="3.140625" style="194" bestFit="1" customWidth="1"/>
    <col min="14095" max="14095" width="5.7109375" style="194" customWidth="1"/>
    <col min="14096" max="14096" width="6.7109375" style="194" customWidth="1"/>
    <col min="14097" max="14097" width="7.7109375" style="194" customWidth="1"/>
    <col min="14098" max="14098" width="5.7109375" style="194" customWidth="1"/>
    <col min="14099" max="14099" width="6.7109375" style="194" customWidth="1"/>
    <col min="14100" max="14100" width="7.7109375" style="194" customWidth="1"/>
    <col min="14101" max="14101" width="5.7109375" style="194" customWidth="1"/>
    <col min="14102" max="14102" width="2.7109375" style="194" customWidth="1"/>
    <col min="14103" max="14104" width="9.140625" style="194"/>
    <col min="14105" max="14105" width="13.42578125" style="194" customWidth="1"/>
    <col min="14106" max="14336" width="9.140625" style="194"/>
    <col min="14337" max="14338" width="2.7109375" style="194" customWidth="1"/>
    <col min="14339" max="14339" width="15.85546875" style="194" customWidth="1"/>
    <col min="14340" max="14340" width="3.7109375" style="194" customWidth="1"/>
    <col min="14341" max="14341" width="6.7109375" style="194" customWidth="1"/>
    <col min="14342" max="14342" width="2.7109375" style="194" customWidth="1"/>
    <col min="14343" max="14344" width="6.7109375" style="194" customWidth="1"/>
    <col min="14345" max="14349" width="5.7109375" style="194" customWidth="1"/>
    <col min="14350" max="14350" width="3.140625" style="194" bestFit="1" customWidth="1"/>
    <col min="14351" max="14351" width="5.7109375" style="194" customWidth="1"/>
    <col min="14352" max="14352" width="6.7109375" style="194" customWidth="1"/>
    <col min="14353" max="14353" width="7.7109375" style="194" customWidth="1"/>
    <col min="14354" max="14354" width="5.7109375" style="194" customWidth="1"/>
    <col min="14355" max="14355" width="6.7109375" style="194" customWidth="1"/>
    <col min="14356" max="14356" width="7.7109375" style="194" customWidth="1"/>
    <col min="14357" max="14357" width="5.7109375" style="194" customWidth="1"/>
    <col min="14358" max="14358" width="2.7109375" style="194" customWidth="1"/>
    <col min="14359" max="14360" width="9.140625" style="194"/>
    <col min="14361" max="14361" width="13.42578125" style="194" customWidth="1"/>
    <col min="14362" max="14592" width="9.140625" style="194"/>
    <col min="14593" max="14594" width="2.7109375" style="194" customWidth="1"/>
    <col min="14595" max="14595" width="15.85546875" style="194" customWidth="1"/>
    <col min="14596" max="14596" width="3.7109375" style="194" customWidth="1"/>
    <col min="14597" max="14597" width="6.7109375" style="194" customWidth="1"/>
    <col min="14598" max="14598" width="2.7109375" style="194" customWidth="1"/>
    <col min="14599" max="14600" width="6.7109375" style="194" customWidth="1"/>
    <col min="14601" max="14605" width="5.7109375" style="194" customWidth="1"/>
    <col min="14606" max="14606" width="3.140625" style="194" bestFit="1" customWidth="1"/>
    <col min="14607" max="14607" width="5.7109375" style="194" customWidth="1"/>
    <col min="14608" max="14608" width="6.7109375" style="194" customWidth="1"/>
    <col min="14609" max="14609" width="7.7109375" style="194" customWidth="1"/>
    <col min="14610" max="14610" width="5.7109375" style="194" customWidth="1"/>
    <col min="14611" max="14611" width="6.7109375" style="194" customWidth="1"/>
    <col min="14612" max="14612" width="7.7109375" style="194" customWidth="1"/>
    <col min="14613" max="14613" width="5.7109375" style="194" customWidth="1"/>
    <col min="14614" max="14614" width="2.7109375" style="194" customWidth="1"/>
    <col min="14615" max="14616" width="9.140625" style="194"/>
    <col min="14617" max="14617" width="13.42578125" style="194" customWidth="1"/>
    <col min="14618" max="14848" width="9.140625" style="194"/>
    <col min="14849" max="14850" width="2.7109375" style="194" customWidth="1"/>
    <col min="14851" max="14851" width="15.85546875" style="194" customWidth="1"/>
    <col min="14852" max="14852" width="3.7109375" style="194" customWidth="1"/>
    <col min="14853" max="14853" width="6.7109375" style="194" customWidth="1"/>
    <col min="14854" max="14854" width="2.7109375" style="194" customWidth="1"/>
    <col min="14855" max="14856" width="6.7109375" style="194" customWidth="1"/>
    <col min="14857" max="14861" width="5.7109375" style="194" customWidth="1"/>
    <col min="14862" max="14862" width="3.140625" style="194" bestFit="1" customWidth="1"/>
    <col min="14863" max="14863" width="5.7109375" style="194" customWidth="1"/>
    <col min="14864" max="14864" width="6.7109375" style="194" customWidth="1"/>
    <col min="14865" max="14865" width="7.7109375" style="194" customWidth="1"/>
    <col min="14866" max="14866" width="5.7109375" style="194" customWidth="1"/>
    <col min="14867" max="14867" width="6.7109375" style="194" customWidth="1"/>
    <col min="14868" max="14868" width="7.7109375" style="194" customWidth="1"/>
    <col min="14869" max="14869" width="5.7109375" style="194" customWidth="1"/>
    <col min="14870" max="14870" width="2.7109375" style="194" customWidth="1"/>
    <col min="14871" max="14872" width="9.140625" style="194"/>
    <col min="14873" max="14873" width="13.42578125" style="194" customWidth="1"/>
    <col min="14874" max="15104" width="9.140625" style="194"/>
    <col min="15105" max="15106" width="2.7109375" style="194" customWidth="1"/>
    <col min="15107" max="15107" width="15.85546875" style="194" customWidth="1"/>
    <col min="15108" max="15108" width="3.7109375" style="194" customWidth="1"/>
    <col min="15109" max="15109" width="6.7109375" style="194" customWidth="1"/>
    <col min="15110" max="15110" width="2.7109375" style="194" customWidth="1"/>
    <col min="15111" max="15112" width="6.7109375" style="194" customWidth="1"/>
    <col min="15113" max="15117" width="5.7109375" style="194" customWidth="1"/>
    <col min="15118" max="15118" width="3.140625" style="194" bestFit="1" customWidth="1"/>
    <col min="15119" max="15119" width="5.7109375" style="194" customWidth="1"/>
    <col min="15120" max="15120" width="6.7109375" style="194" customWidth="1"/>
    <col min="15121" max="15121" width="7.7109375" style="194" customWidth="1"/>
    <col min="15122" max="15122" width="5.7109375" style="194" customWidth="1"/>
    <col min="15123" max="15123" width="6.7109375" style="194" customWidth="1"/>
    <col min="15124" max="15124" width="7.7109375" style="194" customWidth="1"/>
    <col min="15125" max="15125" width="5.7109375" style="194" customWidth="1"/>
    <col min="15126" max="15126" width="2.7109375" style="194" customWidth="1"/>
    <col min="15127" max="15128" width="9.140625" style="194"/>
    <col min="15129" max="15129" width="13.42578125" style="194" customWidth="1"/>
    <col min="15130" max="15360" width="9.140625" style="194"/>
    <col min="15361" max="15362" width="2.7109375" style="194" customWidth="1"/>
    <col min="15363" max="15363" width="15.85546875" style="194" customWidth="1"/>
    <col min="15364" max="15364" width="3.7109375" style="194" customWidth="1"/>
    <col min="15365" max="15365" width="6.7109375" style="194" customWidth="1"/>
    <col min="15366" max="15366" width="2.7109375" style="194" customWidth="1"/>
    <col min="15367" max="15368" width="6.7109375" style="194" customWidth="1"/>
    <col min="15369" max="15373" width="5.7109375" style="194" customWidth="1"/>
    <col min="15374" max="15374" width="3.140625" style="194" bestFit="1" customWidth="1"/>
    <col min="15375" max="15375" width="5.7109375" style="194" customWidth="1"/>
    <col min="15376" max="15376" width="6.7109375" style="194" customWidth="1"/>
    <col min="15377" max="15377" width="7.7109375" style="194" customWidth="1"/>
    <col min="15378" max="15378" width="5.7109375" style="194" customWidth="1"/>
    <col min="15379" max="15379" width="6.7109375" style="194" customWidth="1"/>
    <col min="15380" max="15380" width="7.7109375" style="194" customWidth="1"/>
    <col min="15381" max="15381" width="5.7109375" style="194" customWidth="1"/>
    <col min="15382" max="15382" width="2.7109375" style="194" customWidth="1"/>
    <col min="15383" max="15384" width="9.140625" style="194"/>
    <col min="15385" max="15385" width="13.42578125" style="194" customWidth="1"/>
    <col min="15386" max="15616" width="9.140625" style="194"/>
    <col min="15617" max="15618" width="2.7109375" style="194" customWidth="1"/>
    <col min="15619" max="15619" width="15.85546875" style="194" customWidth="1"/>
    <col min="15620" max="15620" width="3.7109375" style="194" customWidth="1"/>
    <col min="15621" max="15621" width="6.7109375" style="194" customWidth="1"/>
    <col min="15622" max="15622" width="2.7109375" style="194" customWidth="1"/>
    <col min="15623" max="15624" width="6.7109375" style="194" customWidth="1"/>
    <col min="15625" max="15629" width="5.7109375" style="194" customWidth="1"/>
    <col min="15630" max="15630" width="3.140625" style="194" bestFit="1" customWidth="1"/>
    <col min="15631" max="15631" width="5.7109375" style="194" customWidth="1"/>
    <col min="15632" max="15632" width="6.7109375" style="194" customWidth="1"/>
    <col min="15633" max="15633" width="7.7109375" style="194" customWidth="1"/>
    <col min="15634" max="15634" width="5.7109375" style="194" customWidth="1"/>
    <col min="15635" max="15635" width="6.7109375" style="194" customWidth="1"/>
    <col min="15636" max="15636" width="7.7109375" style="194" customWidth="1"/>
    <col min="15637" max="15637" width="5.7109375" style="194" customWidth="1"/>
    <col min="15638" max="15638" width="2.7109375" style="194" customWidth="1"/>
    <col min="15639" max="15640" width="9.140625" style="194"/>
    <col min="15641" max="15641" width="13.42578125" style="194" customWidth="1"/>
    <col min="15642" max="15872" width="9.140625" style="194"/>
    <col min="15873" max="15874" width="2.7109375" style="194" customWidth="1"/>
    <col min="15875" max="15875" width="15.85546875" style="194" customWidth="1"/>
    <col min="15876" max="15876" width="3.7109375" style="194" customWidth="1"/>
    <col min="15877" max="15877" width="6.7109375" style="194" customWidth="1"/>
    <col min="15878" max="15878" width="2.7109375" style="194" customWidth="1"/>
    <col min="15879" max="15880" width="6.7109375" style="194" customWidth="1"/>
    <col min="15881" max="15885" width="5.7109375" style="194" customWidth="1"/>
    <col min="15886" max="15886" width="3.140625" style="194" bestFit="1" customWidth="1"/>
    <col min="15887" max="15887" width="5.7109375" style="194" customWidth="1"/>
    <col min="15888" max="15888" width="6.7109375" style="194" customWidth="1"/>
    <col min="15889" max="15889" width="7.7109375" style="194" customWidth="1"/>
    <col min="15890" max="15890" width="5.7109375" style="194" customWidth="1"/>
    <col min="15891" max="15891" width="6.7109375" style="194" customWidth="1"/>
    <col min="15892" max="15892" width="7.7109375" style="194" customWidth="1"/>
    <col min="15893" max="15893" width="5.7109375" style="194" customWidth="1"/>
    <col min="15894" max="15894" width="2.7109375" style="194" customWidth="1"/>
    <col min="15895" max="15896" width="9.140625" style="194"/>
    <col min="15897" max="15897" width="13.42578125" style="194" customWidth="1"/>
    <col min="15898" max="16128" width="9.140625" style="194"/>
    <col min="16129" max="16130" width="2.7109375" style="194" customWidth="1"/>
    <col min="16131" max="16131" width="15.85546875" style="194" customWidth="1"/>
    <col min="16132" max="16132" width="3.7109375" style="194" customWidth="1"/>
    <col min="16133" max="16133" width="6.7109375" style="194" customWidth="1"/>
    <col min="16134" max="16134" width="2.7109375" style="194" customWidth="1"/>
    <col min="16135" max="16136" width="6.7109375" style="194" customWidth="1"/>
    <col min="16137" max="16141" width="5.7109375" style="194" customWidth="1"/>
    <col min="16142" max="16142" width="3.140625" style="194" bestFit="1" customWidth="1"/>
    <col min="16143" max="16143" width="5.7109375" style="194" customWidth="1"/>
    <col min="16144" max="16144" width="6.7109375" style="194" customWidth="1"/>
    <col min="16145" max="16145" width="7.7109375" style="194" customWidth="1"/>
    <col min="16146" max="16146" width="5.7109375" style="194" customWidth="1"/>
    <col min="16147" max="16147" width="6.7109375" style="194" customWidth="1"/>
    <col min="16148" max="16148" width="7.7109375" style="194" customWidth="1"/>
    <col min="16149" max="16149" width="5.7109375" style="194" customWidth="1"/>
    <col min="16150" max="16150" width="2.7109375" style="194" customWidth="1"/>
    <col min="16151" max="16152" width="9.140625" style="194"/>
    <col min="16153" max="16153" width="13.42578125" style="194" customWidth="1"/>
    <col min="16154" max="16384" width="9.140625" style="194"/>
  </cols>
  <sheetData>
    <row r="1" spans="1:24" ht="18" x14ac:dyDescent="0.25">
      <c r="A1" s="1"/>
      <c r="C1" s="1"/>
      <c r="D1" s="5"/>
      <c r="E1" s="5"/>
      <c r="F1" s="5"/>
      <c r="G1" s="5"/>
      <c r="H1" s="5"/>
      <c r="I1" s="93"/>
      <c r="J1" s="93" t="s">
        <v>374</v>
      </c>
      <c r="K1" s="6"/>
      <c r="L1" s="6"/>
      <c r="M1" s="6"/>
      <c r="N1" s="94"/>
      <c r="O1" s="95"/>
      <c r="P1" s="95"/>
      <c r="Q1" s="95"/>
      <c r="R1" s="95"/>
      <c r="S1" s="95"/>
      <c r="T1" s="193" t="s">
        <v>375</v>
      </c>
      <c r="U1" s="193" t="s">
        <v>722</v>
      </c>
      <c r="V1" s="193"/>
    </row>
    <row r="2" spans="1:24" ht="15.75" x14ac:dyDescent="0.25">
      <c r="A2" s="1"/>
      <c r="C2" s="1"/>
      <c r="D2" s="6"/>
      <c r="E2" s="10"/>
      <c r="F2" s="10"/>
      <c r="G2" s="10"/>
      <c r="H2" s="6"/>
      <c r="I2" s="10"/>
      <c r="J2" s="10"/>
      <c r="K2" s="10"/>
      <c r="L2" s="10"/>
      <c r="M2" s="10"/>
      <c r="N2" s="96"/>
      <c r="O2" s="97"/>
      <c r="P2" s="97"/>
      <c r="Q2" s="97"/>
      <c r="R2" s="98"/>
      <c r="S2" s="98"/>
      <c r="T2" s="11" t="s">
        <v>377</v>
      </c>
      <c r="U2" s="11"/>
      <c r="V2" s="11"/>
      <c r="W2" s="638" t="s">
        <v>781</v>
      </c>
      <c r="X2" s="638"/>
    </row>
    <row r="3" spans="1:24" x14ac:dyDescent="0.25">
      <c r="A3" s="6"/>
      <c r="B3" s="195"/>
      <c r="C3" s="6"/>
      <c r="D3" s="6"/>
      <c r="E3" s="6"/>
      <c r="F3" s="6"/>
      <c r="G3" s="6"/>
      <c r="H3" s="589" t="s">
        <v>423</v>
      </c>
      <c r="I3" s="589"/>
      <c r="J3" s="589"/>
      <c r="K3" s="589"/>
      <c r="L3" s="193"/>
      <c r="M3" s="193"/>
      <c r="N3" s="99"/>
      <c r="O3" s="97"/>
      <c r="P3" s="97"/>
      <c r="Q3" s="97"/>
      <c r="R3" s="98"/>
      <c r="S3" s="98"/>
      <c r="T3" s="788" t="s">
        <v>727</v>
      </c>
      <c r="U3" s="788"/>
      <c r="V3" s="788"/>
    </row>
    <row r="4" spans="1:24" ht="15.75" thickBot="1" x14ac:dyDescent="0.3">
      <c r="A4" s="789" t="s">
        <v>18</v>
      </c>
      <c r="B4" s="789"/>
      <c r="C4" s="789"/>
      <c r="D4" s="100"/>
      <c r="E4" s="100"/>
      <c r="F4" s="100"/>
      <c r="G4" s="100"/>
      <c r="H4" s="790" t="s">
        <v>691</v>
      </c>
      <c r="I4" s="790"/>
      <c r="J4" s="790"/>
      <c r="K4" s="790"/>
      <c r="L4" s="790"/>
      <c r="M4" s="102"/>
      <c r="N4" s="103"/>
      <c r="O4" s="101"/>
      <c r="P4" s="101"/>
      <c r="Q4" s="101"/>
      <c r="R4" s="101"/>
      <c r="S4" s="101"/>
      <c r="T4" s="100" t="s">
        <v>380</v>
      </c>
      <c r="U4" s="100" t="s">
        <v>725</v>
      </c>
      <c r="V4" s="6"/>
    </row>
    <row r="5" spans="1:24" x14ac:dyDescent="0.25">
      <c r="A5" s="104"/>
      <c r="B5" s="105"/>
      <c r="C5" s="105"/>
      <c r="D5" s="106"/>
      <c r="E5" s="107" t="s">
        <v>367</v>
      </c>
      <c r="F5" s="108"/>
      <c r="G5" s="107" t="s">
        <v>368</v>
      </c>
      <c r="H5" s="108"/>
      <c r="I5" s="109" t="s">
        <v>369</v>
      </c>
      <c r="J5" s="110"/>
      <c r="K5" s="110"/>
      <c r="L5" s="110"/>
      <c r="M5" s="110"/>
      <c r="N5" s="111"/>
      <c r="O5" s="110"/>
      <c r="P5" s="112"/>
      <c r="Q5" s="107" t="s">
        <v>381</v>
      </c>
      <c r="R5" s="110"/>
      <c r="S5" s="112"/>
      <c r="T5" s="113"/>
      <c r="U5" s="114"/>
      <c r="V5" s="115"/>
    </row>
    <row r="6" spans="1:24" x14ac:dyDescent="0.25">
      <c r="A6" s="583" t="s">
        <v>555</v>
      </c>
      <c r="B6" s="117"/>
      <c r="C6" s="117"/>
      <c r="D6" s="118" t="s">
        <v>383</v>
      </c>
      <c r="E6" s="119"/>
      <c r="F6" s="120"/>
      <c r="G6" s="121" t="s">
        <v>12</v>
      </c>
      <c r="H6" s="122" t="s">
        <v>384</v>
      </c>
      <c r="I6" s="123"/>
      <c r="J6" s="124" t="s">
        <v>385</v>
      </c>
      <c r="K6" s="124" t="s">
        <v>370</v>
      </c>
      <c r="L6" s="124" t="s">
        <v>370</v>
      </c>
      <c r="M6" s="124"/>
      <c r="N6" s="125"/>
      <c r="O6" s="121" t="s">
        <v>386</v>
      </c>
      <c r="P6" s="122" t="s">
        <v>387</v>
      </c>
      <c r="Q6" s="21" t="s">
        <v>388</v>
      </c>
      <c r="R6" s="21" t="s">
        <v>385</v>
      </c>
      <c r="S6" s="126" t="s">
        <v>388</v>
      </c>
      <c r="T6" s="127" t="s">
        <v>14</v>
      </c>
      <c r="U6" s="128" t="s">
        <v>12</v>
      </c>
      <c r="V6" s="129"/>
    </row>
    <row r="7" spans="1:24" ht="19.5" thickBot="1" x14ac:dyDescent="0.3">
      <c r="A7" s="130" t="s">
        <v>389</v>
      </c>
      <c r="B7" s="131"/>
      <c r="C7" s="132"/>
      <c r="D7" s="133" t="s">
        <v>6</v>
      </c>
      <c r="E7" s="134" t="s">
        <v>14</v>
      </c>
      <c r="F7" s="135" t="s">
        <v>12</v>
      </c>
      <c r="G7" s="131" t="s">
        <v>390</v>
      </c>
      <c r="H7" s="136" t="s">
        <v>13</v>
      </c>
      <c r="I7" s="137" t="s">
        <v>370</v>
      </c>
      <c r="J7" s="138" t="s">
        <v>391</v>
      </c>
      <c r="K7" s="138" t="s">
        <v>392</v>
      </c>
      <c r="L7" s="138" t="s">
        <v>393</v>
      </c>
      <c r="M7" s="138" t="s">
        <v>371</v>
      </c>
      <c r="N7" s="139" t="s">
        <v>394</v>
      </c>
      <c r="O7" s="131" t="s">
        <v>395</v>
      </c>
      <c r="P7" s="136" t="s">
        <v>13</v>
      </c>
      <c r="Q7" s="140" t="s">
        <v>396</v>
      </c>
      <c r="R7" s="140" t="s">
        <v>390</v>
      </c>
      <c r="S7" s="136" t="s">
        <v>13</v>
      </c>
      <c r="T7" s="141" t="s">
        <v>390</v>
      </c>
      <c r="U7" s="142" t="s">
        <v>390</v>
      </c>
      <c r="V7" s="143" t="s">
        <v>12</v>
      </c>
    </row>
    <row r="8" spans="1:24" ht="15.75" thickTop="1" x14ac:dyDescent="0.25">
      <c r="A8" s="144"/>
      <c r="B8" s="145"/>
      <c r="C8" s="146"/>
      <c r="D8" s="147"/>
      <c r="E8" s="147"/>
      <c r="F8" s="147"/>
      <c r="G8" s="148"/>
      <c r="H8" s="149">
        <f t="shared" ref="H8" si="0">G8*E8</f>
        <v>0</v>
      </c>
      <c r="I8" s="150"/>
      <c r="J8" s="147"/>
      <c r="K8" s="151" t="e">
        <f t="shared" ref="K8" si="1">E8/J8</f>
        <v>#DIV/0!</v>
      </c>
      <c r="L8" s="147" t="e">
        <f>K8*8</f>
        <v>#DIV/0!</v>
      </c>
      <c r="M8" s="147"/>
      <c r="N8" s="152"/>
      <c r="O8" s="148"/>
      <c r="P8" s="153"/>
      <c r="Q8" s="154"/>
      <c r="R8" s="148"/>
      <c r="S8" s="149"/>
      <c r="T8" s="149">
        <f t="shared" ref="T8" si="2">S8+P8+H8</f>
        <v>0</v>
      </c>
      <c r="U8" s="150" t="e">
        <f t="shared" ref="U8" si="3">T8/E8</f>
        <v>#DIV/0!</v>
      </c>
      <c r="V8" s="155">
        <f t="shared" ref="V8" si="4">F8</f>
        <v>0</v>
      </c>
    </row>
    <row r="9" spans="1:24" x14ac:dyDescent="0.25">
      <c r="A9" s="156"/>
      <c r="B9" s="157"/>
      <c r="C9" s="158" t="s">
        <v>689</v>
      </c>
      <c r="D9" s="575" t="s">
        <v>760</v>
      </c>
      <c r="E9" s="561">
        <f>' Alternate #1'!M8</f>
        <v>187.7962962962963</v>
      </c>
      <c r="F9" s="151" t="s">
        <v>444</v>
      </c>
      <c r="G9" s="434">
        <v>110</v>
      </c>
      <c r="H9" s="435">
        <f>G9*E9</f>
        <v>20657.592592592595</v>
      </c>
      <c r="I9" s="436" t="s">
        <v>447</v>
      </c>
      <c r="J9" s="263">
        <v>140</v>
      </c>
      <c r="K9" s="263">
        <f>E9/J9</f>
        <v>1.3414021164021164</v>
      </c>
      <c r="L9" s="263">
        <f>8*K9</f>
        <v>10.731216931216931</v>
      </c>
      <c r="M9" s="263" t="s">
        <v>399</v>
      </c>
      <c r="N9" s="437">
        <v>1</v>
      </c>
      <c r="O9" s="434">
        <v>25</v>
      </c>
      <c r="P9" s="438">
        <f>O14*L9</f>
        <v>3110.1212910052914</v>
      </c>
      <c r="Q9" s="439" t="s">
        <v>446</v>
      </c>
      <c r="R9" s="434">
        <v>82.2</v>
      </c>
      <c r="S9" s="435">
        <f>R13*K9</f>
        <v>6592.4548412698414</v>
      </c>
      <c r="T9" s="478">
        <f>S9+P9+H9</f>
        <v>30360.168724867726</v>
      </c>
      <c r="U9" s="436">
        <f>T9/E9</f>
        <v>161.66542857142858</v>
      </c>
      <c r="V9" s="441" t="str">
        <f>F9</f>
        <v>cy</v>
      </c>
    </row>
    <row r="10" spans="1:24" x14ac:dyDescent="0.25">
      <c r="A10" s="156"/>
      <c r="B10" s="157"/>
      <c r="C10" s="158"/>
      <c r="D10" s="151"/>
      <c r="E10" s="151"/>
      <c r="F10" s="151"/>
      <c r="G10" s="434"/>
      <c r="H10" s="435"/>
      <c r="I10" s="436"/>
      <c r="J10" s="263"/>
      <c r="K10" s="263"/>
      <c r="L10" s="263"/>
      <c r="M10" s="442" t="s">
        <v>400</v>
      </c>
      <c r="N10" s="443">
        <v>6</v>
      </c>
      <c r="O10" s="434">
        <v>17.55</v>
      </c>
      <c r="P10" s="438"/>
      <c r="Q10" s="439" t="s">
        <v>450</v>
      </c>
      <c r="R10" s="434">
        <v>22.4</v>
      </c>
      <c r="S10" s="435"/>
      <c r="T10" s="478"/>
      <c r="U10" s="436"/>
      <c r="V10" s="441"/>
    </row>
    <row r="11" spans="1:24" x14ac:dyDescent="0.25">
      <c r="A11" s="169"/>
      <c r="B11" s="157"/>
      <c r="C11" s="158"/>
      <c r="D11" s="151"/>
      <c r="E11" s="151"/>
      <c r="F11" s="151"/>
      <c r="G11" s="434"/>
      <c r="H11" s="435"/>
      <c r="I11" s="436"/>
      <c r="J11" s="263"/>
      <c r="K11" s="263"/>
      <c r="L11" s="263"/>
      <c r="M11" s="263" t="s">
        <v>445</v>
      </c>
      <c r="N11" s="437">
        <v>2</v>
      </c>
      <c r="O11" s="434">
        <v>21.18</v>
      </c>
      <c r="P11" s="438"/>
      <c r="Q11" s="439" t="s">
        <v>449</v>
      </c>
      <c r="R11" s="434">
        <v>3710</v>
      </c>
      <c r="S11" s="435"/>
      <c r="T11" s="478"/>
      <c r="U11" s="436"/>
      <c r="V11" s="441"/>
    </row>
    <row r="12" spans="1:24" x14ac:dyDescent="0.25">
      <c r="A12" s="156"/>
      <c r="B12" s="157"/>
      <c r="C12" s="158"/>
      <c r="D12" s="151"/>
      <c r="E12" s="151"/>
      <c r="F12" s="151"/>
      <c r="G12" s="434"/>
      <c r="H12" s="435"/>
      <c r="I12" s="436"/>
      <c r="J12" s="263"/>
      <c r="K12" s="263"/>
      <c r="L12" s="263"/>
      <c r="M12" s="263" t="s">
        <v>401</v>
      </c>
      <c r="N12" s="437">
        <v>2</v>
      </c>
      <c r="O12" s="434">
        <v>23.28</v>
      </c>
      <c r="P12" s="438"/>
      <c r="Q12" s="439" t="s">
        <v>451</v>
      </c>
      <c r="R12" s="434">
        <v>1100</v>
      </c>
      <c r="S12" s="435"/>
      <c r="T12" s="478"/>
      <c r="U12" s="436"/>
      <c r="V12" s="441"/>
    </row>
    <row r="13" spans="1:24" x14ac:dyDescent="0.25">
      <c r="A13" s="156"/>
      <c r="B13" s="157"/>
      <c r="C13" s="158"/>
      <c r="D13" s="151"/>
      <c r="E13" s="151"/>
      <c r="F13" s="151"/>
      <c r="G13" s="434"/>
      <c r="H13" s="435"/>
      <c r="I13" s="436"/>
      <c r="J13" s="263"/>
      <c r="K13" s="263"/>
      <c r="L13" s="263"/>
      <c r="M13" s="263" t="s">
        <v>448</v>
      </c>
      <c r="N13" s="437">
        <v>4</v>
      </c>
      <c r="O13" s="434">
        <v>17.649999999999999</v>
      </c>
      <c r="P13" s="438"/>
      <c r="Q13" s="439"/>
      <c r="R13" s="434">
        <f>SUM(R9:R12)</f>
        <v>4914.6000000000004</v>
      </c>
      <c r="S13" s="435"/>
      <c r="T13" s="478"/>
      <c r="U13" s="436"/>
      <c r="V13" s="441"/>
    </row>
    <row r="14" spans="1:24" x14ac:dyDescent="0.25">
      <c r="A14" s="169"/>
      <c r="B14" s="157"/>
      <c r="C14" s="158"/>
      <c r="D14" s="151"/>
      <c r="E14" s="151"/>
      <c r="F14" s="151"/>
      <c r="G14" s="434"/>
      <c r="H14" s="435"/>
      <c r="I14" s="436"/>
      <c r="J14" s="263"/>
      <c r="K14" s="263"/>
      <c r="L14" s="263"/>
      <c r="M14" s="263"/>
      <c r="N14" s="437"/>
      <c r="O14" s="434">
        <f>O9+O10*N10+O11*N11+O12*N12+O13*N13</f>
        <v>289.82000000000005</v>
      </c>
      <c r="P14" s="438"/>
      <c r="Q14" s="439"/>
      <c r="R14" s="434"/>
      <c r="S14" s="435"/>
      <c r="T14" s="478"/>
      <c r="U14" s="436"/>
      <c r="V14" s="441"/>
    </row>
    <row r="15" spans="1:24" x14ac:dyDescent="0.25">
      <c r="A15" s="156"/>
      <c r="B15" s="157"/>
      <c r="C15" s="158"/>
      <c r="D15" s="151"/>
      <c r="E15" s="151"/>
      <c r="F15" s="151"/>
      <c r="G15" s="159"/>
      <c r="H15" s="160"/>
      <c r="I15" s="161"/>
      <c r="J15" s="151"/>
      <c r="K15" s="151"/>
      <c r="L15" s="151"/>
      <c r="M15" s="151"/>
      <c r="N15" s="162"/>
      <c r="O15" s="159"/>
      <c r="P15" s="163"/>
      <c r="Q15" s="164"/>
      <c r="R15" s="159"/>
      <c r="S15" s="160"/>
      <c r="T15" s="165"/>
      <c r="U15" s="161"/>
      <c r="V15" s="166"/>
    </row>
    <row r="16" spans="1:24" x14ac:dyDescent="0.25">
      <c r="A16" s="156"/>
      <c r="B16" s="157"/>
      <c r="C16" s="158"/>
      <c r="D16" s="151"/>
      <c r="E16" s="151"/>
      <c r="F16" s="151"/>
      <c r="G16" s="159"/>
      <c r="H16" s="160"/>
      <c r="I16" s="161"/>
      <c r="J16" s="151"/>
      <c r="K16" s="151"/>
      <c r="L16" s="151"/>
      <c r="M16" s="151"/>
      <c r="N16" s="162"/>
      <c r="O16" s="159"/>
      <c r="P16" s="163"/>
      <c r="Q16" s="164"/>
      <c r="R16" s="159"/>
      <c r="S16" s="160"/>
      <c r="T16" s="165"/>
      <c r="U16" s="161"/>
      <c r="V16" s="166"/>
    </row>
    <row r="17" spans="1:22" x14ac:dyDescent="0.25">
      <c r="A17" s="169"/>
      <c r="B17" s="157"/>
      <c r="C17" s="158"/>
      <c r="D17" s="151"/>
      <c r="E17" s="151"/>
      <c r="F17" s="151"/>
      <c r="G17" s="159"/>
      <c r="H17" s="160"/>
      <c r="I17" s="161"/>
      <c r="J17" s="151"/>
      <c r="K17" s="151"/>
      <c r="L17" s="151"/>
      <c r="M17" s="151"/>
      <c r="N17" s="162"/>
      <c r="O17" s="159"/>
      <c r="P17" s="163"/>
      <c r="Q17" s="164"/>
      <c r="R17" s="159"/>
      <c r="S17" s="160"/>
      <c r="T17" s="165"/>
      <c r="U17" s="161"/>
      <c r="V17" s="166"/>
    </row>
    <row r="18" spans="1:22" x14ac:dyDescent="0.25">
      <c r="A18" s="156"/>
      <c r="B18" s="157"/>
      <c r="C18" s="158"/>
      <c r="D18" s="151"/>
      <c r="E18" s="151"/>
      <c r="F18" s="151"/>
      <c r="G18" s="159"/>
      <c r="H18" s="160"/>
      <c r="I18" s="161"/>
      <c r="J18" s="151"/>
      <c r="K18" s="151"/>
      <c r="L18" s="151"/>
      <c r="M18" s="151"/>
      <c r="N18" s="162"/>
      <c r="O18" s="159"/>
      <c r="P18" s="163"/>
      <c r="Q18" s="164"/>
      <c r="R18" s="159"/>
      <c r="S18" s="160"/>
      <c r="T18" s="165"/>
      <c r="U18" s="161"/>
      <c r="V18" s="166"/>
    </row>
    <row r="19" spans="1:22" x14ac:dyDescent="0.25">
      <c r="A19" s="156"/>
      <c r="B19" s="157"/>
      <c r="C19" s="158"/>
      <c r="D19" s="151"/>
      <c r="E19" s="151"/>
      <c r="F19" s="151"/>
      <c r="G19" s="159"/>
      <c r="H19" s="160"/>
      <c r="I19" s="161"/>
      <c r="J19" s="151"/>
      <c r="K19" s="151"/>
      <c r="L19" s="151"/>
      <c r="M19" s="151"/>
      <c r="N19" s="162"/>
      <c r="O19" s="159"/>
      <c r="P19" s="163"/>
      <c r="Q19" s="164"/>
      <c r="R19" s="159"/>
      <c r="S19" s="160"/>
      <c r="T19" s="165"/>
      <c r="U19" s="161"/>
      <c r="V19" s="166"/>
    </row>
    <row r="20" spans="1:22" x14ac:dyDescent="0.25">
      <c r="A20" s="169"/>
      <c r="B20" s="157"/>
      <c r="C20" s="158"/>
      <c r="D20" s="151"/>
      <c r="E20" s="151"/>
      <c r="F20" s="151"/>
      <c r="G20" s="159"/>
      <c r="H20" s="160"/>
      <c r="I20" s="161"/>
      <c r="J20" s="151"/>
      <c r="K20" s="151"/>
      <c r="L20" s="151"/>
      <c r="M20" s="151"/>
      <c r="N20" s="162"/>
      <c r="O20" s="159"/>
      <c r="P20" s="163"/>
      <c r="Q20" s="164"/>
      <c r="R20" s="159"/>
      <c r="S20" s="160"/>
      <c r="T20" s="165"/>
      <c r="U20" s="161"/>
      <c r="V20" s="166"/>
    </row>
    <row r="21" spans="1:22" x14ac:dyDescent="0.25">
      <c r="A21" s="156"/>
      <c r="B21" s="157"/>
      <c r="C21" s="158"/>
      <c r="D21" s="151"/>
      <c r="E21" s="151"/>
      <c r="F21" s="151"/>
      <c r="G21" s="159"/>
      <c r="H21" s="160"/>
      <c r="I21" s="161"/>
      <c r="J21" s="151"/>
      <c r="K21" s="151"/>
      <c r="L21" s="151"/>
      <c r="M21" s="151"/>
      <c r="N21" s="162"/>
      <c r="O21" s="159"/>
      <c r="P21" s="163"/>
      <c r="Q21" s="164"/>
      <c r="R21" s="159"/>
      <c r="S21" s="160"/>
      <c r="T21" s="165"/>
      <c r="U21" s="161"/>
      <c r="V21" s="166"/>
    </row>
    <row r="22" spans="1:22" x14ac:dyDescent="0.25">
      <c r="A22" s="156"/>
      <c r="B22" s="157"/>
      <c r="C22" s="158"/>
      <c r="D22" s="151"/>
      <c r="E22" s="151"/>
      <c r="F22" s="151"/>
      <c r="G22" s="159"/>
      <c r="H22" s="160"/>
      <c r="I22" s="161"/>
      <c r="J22" s="151"/>
      <c r="K22" s="151"/>
      <c r="L22" s="151"/>
      <c r="M22" s="151"/>
      <c r="N22" s="162"/>
      <c r="O22" s="159"/>
      <c r="P22" s="163"/>
      <c r="Q22" s="164"/>
      <c r="R22" s="159"/>
      <c r="S22" s="160"/>
      <c r="T22" s="165"/>
      <c r="U22" s="161"/>
      <c r="V22" s="166"/>
    </row>
    <row r="23" spans="1:22" x14ac:dyDescent="0.25">
      <c r="A23" s="156"/>
      <c r="B23" s="157"/>
      <c r="C23" s="158"/>
      <c r="D23" s="151"/>
      <c r="E23" s="151"/>
      <c r="F23" s="151"/>
      <c r="G23" s="159"/>
      <c r="H23" s="160"/>
      <c r="I23" s="161"/>
      <c r="J23" s="151"/>
      <c r="K23" s="151"/>
      <c r="L23" s="151"/>
      <c r="M23" s="151"/>
      <c r="N23" s="162"/>
      <c r="O23" s="159"/>
      <c r="P23" s="163"/>
      <c r="Q23" s="164"/>
      <c r="R23" s="159"/>
      <c r="S23" s="160"/>
      <c r="T23" s="165"/>
      <c r="U23" s="161"/>
      <c r="V23" s="166"/>
    </row>
    <row r="24" spans="1:22" x14ac:dyDescent="0.25">
      <c r="A24" s="156"/>
      <c r="B24" s="157"/>
      <c r="C24" s="158"/>
      <c r="D24" s="151"/>
      <c r="E24" s="151"/>
      <c r="F24" s="151"/>
      <c r="G24" s="159"/>
      <c r="H24" s="160"/>
      <c r="I24" s="161"/>
      <c r="J24" s="151"/>
      <c r="K24" s="151"/>
      <c r="L24" s="151"/>
      <c r="M24" s="151"/>
      <c r="N24" s="162"/>
      <c r="O24" s="159"/>
      <c r="P24" s="163"/>
      <c r="Q24" s="164"/>
      <c r="R24" s="159"/>
      <c r="S24" s="160"/>
      <c r="T24" s="165"/>
      <c r="U24" s="161"/>
      <c r="V24" s="166"/>
    </row>
    <row r="25" spans="1:22" x14ac:dyDescent="0.25">
      <c r="A25" s="156"/>
      <c r="B25" s="157"/>
      <c r="C25" s="158"/>
      <c r="D25" s="151"/>
      <c r="E25" s="151"/>
      <c r="F25" s="151"/>
      <c r="G25" s="159"/>
      <c r="H25" s="160"/>
      <c r="I25" s="161"/>
      <c r="J25" s="151"/>
      <c r="K25" s="151"/>
      <c r="L25" s="151"/>
      <c r="M25" s="151"/>
      <c r="N25" s="162"/>
      <c r="O25" s="159"/>
      <c r="P25" s="163"/>
      <c r="Q25" s="164"/>
      <c r="R25" s="159"/>
      <c r="S25" s="160"/>
      <c r="T25" s="165"/>
      <c r="U25" s="161"/>
      <c r="V25" s="166"/>
    </row>
    <row r="26" spans="1:22" x14ac:dyDescent="0.25">
      <c r="A26" s="156"/>
      <c r="B26" s="157"/>
      <c r="C26" s="158"/>
      <c r="D26" s="151"/>
      <c r="E26" s="151"/>
      <c r="F26" s="151"/>
      <c r="G26" s="159"/>
      <c r="H26" s="160"/>
      <c r="I26" s="161"/>
      <c r="J26" s="151"/>
      <c r="K26" s="151"/>
      <c r="L26" s="151"/>
      <c r="M26" s="151"/>
      <c r="N26" s="162"/>
      <c r="O26" s="159"/>
      <c r="P26" s="163"/>
      <c r="Q26" s="164"/>
      <c r="R26" s="159"/>
      <c r="S26" s="160"/>
      <c r="T26" s="165"/>
      <c r="U26" s="161"/>
      <c r="V26" s="166"/>
    </row>
    <row r="27" spans="1:22" x14ac:dyDescent="0.25">
      <c r="A27" s="156"/>
      <c r="B27" s="157"/>
      <c r="C27" s="158"/>
      <c r="D27" s="151"/>
      <c r="E27" s="151"/>
      <c r="F27" s="151"/>
      <c r="G27" s="159"/>
      <c r="H27" s="160"/>
      <c r="I27" s="161"/>
      <c r="J27" s="151"/>
      <c r="K27" s="151"/>
      <c r="L27" s="151"/>
      <c r="M27" s="151"/>
      <c r="N27" s="162"/>
      <c r="O27" s="159"/>
      <c r="P27" s="163"/>
      <c r="Q27" s="164"/>
      <c r="R27" s="159"/>
      <c r="S27" s="160"/>
      <c r="T27" s="165"/>
      <c r="U27" s="161"/>
      <c r="V27" s="166"/>
    </row>
    <row r="28" spans="1:22" x14ac:dyDescent="0.25">
      <c r="A28" s="156"/>
      <c r="B28" s="157"/>
      <c r="C28" s="158"/>
      <c r="D28" s="151"/>
      <c r="E28" s="151"/>
      <c r="F28" s="151"/>
      <c r="G28" s="159"/>
      <c r="H28" s="160"/>
      <c r="I28" s="161"/>
      <c r="J28" s="151"/>
      <c r="K28" s="151"/>
      <c r="L28" s="151"/>
      <c r="M28" s="151"/>
      <c r="N28" s="162"/>
      <c r="O28" s="159"/>
      <c r="P28" s="163"/>
      <c r="Q28" s="164"/>
      <c r="R28" s="159"/>
      <c r="S28" s="160"/>
      <c r="T28" s="165"/>
      <c r="U28" s="161"/>
      <c r="V28" s="166"/>
    </row>
    <row r="29" spans="1:22" x14ac:dyDescent="0.25">
      <c r="A29" s="156"/>
      <c r="B29" s="157"/>
      <c r="C29" s="158"/>
      <c r="D29" s="151"/>
      <c r="E29" s="151"/>
      <c r="F29" s="151"/>
      <c r="G29" s="159"/>
      <c r="H29" s="160"/>
      <c r="I29" s="161"/>
      <c r="J29" s="151"/>
      <c r="K29" s="151"/>
      <c r="L29" s="151"/>
      <c r="M29" s="151"/>
      <c r="N29" s="162"/>
      <c r="O29" s="159"/>
      <c r="P29" s="163"/>
      <c r="Q29" s="164"/>
      <c r="R29" s="159"/>
      <c r="S29" s="160"/>
      <c r="T29" s="165"/>
      <c r="U29" s="161"/>
      <c r="V29" s="166"/>
    </row>
    <row r="30" spans="1:22" x14ac:dyDescent="0.25">
      <c r="A30" s="156"/>
      <c r="B30" s="157"/>
      <c r="C30" s="158"/>
      <c r="D30" s="151"/>
      <c r="E30" s="151"/>
      <c r="F30" s="151"/>
      <c r="G30" s="159"/>
      <c r="H30" s="160"/>
      <c r="I30" s="161"/>
      <c r="J30" s="151"/>
      <c r="K30" s="151"/>
      <c r="L30" s="151"/>
      <c r="M30" s="151"/>
      <c r="N30" s="162"/>
      <c r="O30" s="159"/>
      <c r="P30" s="163"/>
      <c r="Q30" s="164"/>
      <c r="R30" s="159"/>
      <c r="S30" s="160"/>
      <c r="T30" s="165"/>
      <c r="U30" s="161"/>
      <c r="V30" s="166"/>
    </row>
    <row r="31" spans="1:22" x14ac:dyDescent="0.25">
      <c r="A31" s="156"/>
      <c r="B31" s="157"/>
      <c r="C31" s="158"/>
      <c r="D31" s="151"/>
      <c r="E31" s="151"/>
      <c r="F31" s="151"/>
      <c r="G31" s="159"/>
      <c r="H31" s="160"/>
      <c r="I31" s="161"/>
      <c r="J31" s="151"/>
      <c r="K31" s="151"/>
      <c r="L31" s="151"/>
      <c r="M31" s="151"/>
      <c r="N31" s="162"/>
      <c r="O31" s="159"/>
      <c r="P31" s="163"/>
      <c r="Q31" s="164"/>
      <c r="R31" s="159"/>
      <c r="S31" s="160"/>
      <c r="T31" s="165"/>
      <c r="U31" s="161"/>
      <c r="V31" s="166"/>
    </row>
    <row r="32" spans="1:22" x14ac:dyDescent="0.25">
      <c r="A32" s="156"/>
      <c r="B32" s="157"/>
      <c r="C32" s="158"/>
      <c r="D32" s="151"/>
      <c r="E32" s="151"/>
      <c r="F32" s="151"/>
      <c r="G32" s="159"/>
      <c r="H32" s="160"/>
      <c r="I32" s="161"/>
      <c r="J32" s="151"/>
      <c r="K32" s="151"/>
      <c r="L32" s="151"/>
      <c r="M32" s="151"/>
      <c r="N32" s="162"/>
      <c r="O32" s="159"/>
      <c r="P32" s="163"/>
      <c r="Q32" s="164"/>
      <c r="R32" s="159"/>
      <c r="S32" s="160"/>
      <c r="T32" s="165"/>
      <c r="U32" s="161"/>
      <c r="V32" s="166"/>
    </row>
    <row r="33" spans="1:22" x14ac:dyDescent="0.25">
      <c r="A33" s="156"/>
      <c r="B33" s="157"/>
      <c r="C33" s="158"/>
      <c r="D33" s="151"/>
      <c r="E33" s="151"/>
      <c r="F33" s="151"/>
      <c r="G33" s="159"/>
      <c r="H33" s="160"/>
      <c r="I33" s="161"/>
      <c r="J33" s="151"/>
      <c r="K33" s="151"/>
      <c r="L33" s="151"/>
      <c r="M33" s="151"/>
      <c r="N33" s="162"/>
      <c r="O33" s="159"/>
      <c r="P33" s="163"/>
      <c r="Q33" s="164"/>
      <c r="R33" s="159"/>
      <c r="S33" s="160"/>
      <c r="T33" s="165"/>
      <c r="U33" s="161"/>
      <c r="V33" s="166"/>
    </row>
    <row r="34" spans="1:22" x14ac:dyDescent="0.25">
      <c r="A34" s="156"/>
      <c r="B34" s="157"/>
      <c r="C34" s="158"/>
      <c r="D34" s="151"/>
      <c r="E34" s="151"/>
      <c r="F34" s="151"/>
      <c r="G34" s="159"/>
      <c r="H34" s="160"/>
      <c r="I34" s="161"/>
      <c r="J34" s="151"/>
      <c r="K34" s="151"/>
      <c r="L34" s="151"/>
      <c r="M34" s="151"/>
      <c r="N34" s="162"/>
      <c r="O34" s="159"/>
      <c r="P34" s="163"/>
      <c r="Q34" s="164"/>
      <c r="R34" s="159"/>
      <c r="S34" s="160"/>
      <c r="T34" s="165"/>
      <c r="U34" s="161"/>
      <c r="V34" s="166"/>
    </row>
    <row r="35" spans="1:22" x14ac:dyDescent="0.25">
      <c r="A35" s="156"/>
      <c r="B35" s="157"/>
      <c r="C35" s="158"/>
      <c r="D35" s="151"/>
      <c r="E35" s="151"/>
      <c r="F35" s="151"/>
      <c r="G35" s="159"/>
      <c r="H35" s="160"/>
      <c r="I35" s="161"/>
      <c r="J35" s="151"/>
      <c r="K35" s="151"/>
      <c r="L35" s="151"/>
      <c r="M35" s="151"/>
      <c r="N35" s="162"/>
      <c r="O35" s="159"/>
      <c r="P35" s="163"/>
      <c r="Q35" s="164"/>
      <c r="R35" s="159"/>
      <c r="S35" s="160"/>
      <c r="T35" s="165"/>
      <c r="U35" s="161"/>
      <c r="V35" s="166"/>
    </row>
    <row r="36" spans="1:22" x14ac:dyDescent="0.25">
      <c r="A36" s="156"/>
      <c r="B36" s="157"/>
      <c r="C36" s="158"/>
      <c r="D36" s="151"/>
      <c r="E36" s="151"/>
      <c r="F36" s="151"/>
      <c r="G36" s="159"/>
      <c r="H36" s="160"/>
      <c r="I36" s="161"/>
      <c r="J36" s="151"/>
      <c r="K36" s="151"/>
      <c r="L36" s="151"/>
      <c r="M36" s="151"/>
      <c r="N36" s="162"/>
      <c r="O36" s="159"/>
      <c r="P36" s="163"/>
      <c r="Q36" s="164"/>
      <c r="R36" s="159"/>
      <c r="S36" s="160"/>
      <c r="T36" s="165"/>
      <c r="U36" s="161"/>
      <c r="V36" s="166"/>
    </row>
    <row r="37" spans="1:22" x14ac:dyDescent="0.25">
      <c r="A37" s="156"/>
      <c r="B37" s="157"/>
      <c r="C37" s="158"/>
      <c r="D37" s="151"/>
      <c r="E37" s="151"/>
      <c r="F37" s="151"/>
      <c r="G37" s="159"/>
      <c r="H37" s="160"/>
      <c r="I37" s="161"/>
      <c r="J37" s="151"/>
      <c r="K37" s="151"/>
      <c r="L37" s="151"/>
      <c r="M37" s="151"/>
      <c r="N37" s="162"/>
      <c r="O37" s="159"/>
      <c r="P37" s="163"/>
      <c r="Q37" s="164"/>
      <c r="R37" s="159"/>
      <c r="S37" s="160"/>
      <c r="T37" s="165"/>
      <c r="U37" s="161"/>
      <c r="V37" s="166"/>
    </row>
    <row r="38" spans="1:22" x14ac:dyDescent="0.25">
      <c r="A38" s="156"/>
      <c r="B38" s="157"/>
      <c r="C38" s="158"/>
      <c r="D38" s="151"/>
      <c r="E38" s="151"/>
      <c r="F38" s="151"/>
      <c r="G38" s="159"/>
      <c r="H38" s="160"/>
      <c r="I38" s="161"/>
      <c r="J38" s="151"/>
      <c r="K38" s="151"/>
      <c r="L38" s="151"/>
      <c r="M38" s="151"/>
      <c r="N38" s="162"/>
      <c r="O38" s="159"/>
      <c r="P38" s="163"/>
      <c r="Q38" s="164"/>
      <c r="R38" s="159"/>
      <c r="S38" s="160"/>
      <c r="T38" s="165"/>
      <c r="U38" s="161"/>
      <c r="V38" s="166"/>
    </row>
    <row r="39" spans="1:22" x14ac:dyDescent="0.25">
      <c r="A39" s="156"/>
      <c r="B39" s="157"/>
      <c r="C39" s="158"/>
      <c r="D39" s="151"/>
      <c r="E39" s="151"/>
      <c r="F39" s="151"/>
      <c r="G39" s="159"/>
      <c r="H39" s="160"/>
      <c r="I39" s="161"/>
      <c r="J39" s="151"/>
      <c r="K39" s="151"/>
      <c r="L39" s="151"/>
      <c r="M39" s="151"/>
      <c r="N39" s="162"/>
      <c r="O39" s="159"/>
      <c r="P39" s="163"/>
      <c r="Q39" s="164"/>
      <c r="R39" s="159"/>
      <c r="S39" s="160"/>
      <c r="T39" s="165"/>
      <c r="U39" s="161"/>
      <c r="V39" s="166"/>
    </row>
    <row r="40" spans="1:22" x14ac:dyDescent="0.25">
      <c r="A40" s="156"/>
      <c r="B40" s="157"/>
      <c r="C40" s="158"/>
      <c r="D40" s="151"/>
      <c r="E40" s="151"/>
      <c r="F40" s="151"/>
      <c r="G40" s="159"/>
      <c r="H40" s="160"/>
      <c r="I40" s="161"/>
      <c r="J40" s="151"/>
      <c r="K40" s="151"/>
      <c r="L40" s="151"/>
      <c r="M40" s="151"/>
      <c r="N40" s="162"/>
      <c r="O40" s="159"/>
      <c r="P40" s="163"/>
      <c r="Q40" s="164"/>
      <c r="R40" s="159"/>
      <c r="S40" s="160"/>
      <c r="T40" s="165"/>
      <c r="U40" s="161"/>
      <c r="V40" s="166"/>
    </row>
    <row r="41" spans="1:22" ht="15.75" thickBot="1" x14ac:dyDescent="0.3">
      <c r="A41" s="170"/>
      <c r="B41" s="171"/>
      <c r="C41" s="172"/>
      <c r="D41" s="173"/>
      <c r="E41" s="173"/>
      <c r="F41" s="173"/>
      <c r="G41" s="174"/>
      <c r="H41" s="175"/>
      <c r="I41" s="176"/>
      <c r="J41" s="173"/>
      <c r="K41" s="167"/>
      <c r="L41" s="167"/>
      <c r="M41" s="173"/>
      <c r="N41" s="177"/>
      <c r="O41" s="174"/>
      <c r="P41" s="178"/>
      <c r="Q41" s="179"/>
      <c r="R41" s="174"/>
      <c r="S41" s="180"/>
      <c r="T41" s="181"/>
      <c r="U41" s="182"/>
      <c r="V41" s="166"/>
    </row>
    <row r="42" spans="1:22" ht="15.75" thickBot="1" x14ac:dyDescent="0.3">
      <c r="A42" s="183"/>
      <c r="B42" s="184"/>
      <c r="C42" s="184"/>
      <c r="D42" s="185"/>
      <c r="E42" s="185"/>
      <c r="F42" s="185"/>
      <c r="G42" s="185"/>
      <c r="H42" s="186">
        <f>SUM(H8:H41)</f>
        <v>20657.592592592595</v>
      </c>
      <c r="I42" s="187"/>
      <c r="J42" s="188"/>
      <c r="K42" s="186" t="e">
        <f>SUM(K8:K41)</f>
        <v>#DIV/0!</v>
      </c>
      <c r="L42" s="186" t="e">
        <f>SUM(L8:L41)</f>
        <v>#DIV/0!</v>
      </c>
      <c r="M42" s="187"/>
      <c r="N42" s="189"/>
      <c r="O42" s="188"/>
      <c r="P42" s="186">
        <f>SUM(P8:P41)</f>
        <v>3110.1212910052914</v>
      </c>
      <c r="Q42" s="187"/>
      <c r="R42" s="188"/>
      <c r="S42" s="190">
        <f>SUM(S8:S41)</f>
        <v>6592.4548412698414</v>
      </c>
      <c r="T42" s="186">
        <f>SUM(T8:T41)</f>
        <v>30360.168724867726</v>
      </c>
      <c r="U42" s="191" t="s">
        <v>397</v>
      </c>
      <c r="V42" s="192"/>
    </row>
    <row r="43" spans="1:22" x14ac:dyDescent="0.25">
      <c r="N43" s="74"/>
      <c r="R43" s="194" t="s">
        <v>690</v>
      </c>
      <c r="T43" s="562">
        <v>0.3</v>
      </c>
    </row>
    <row r="44" spans="1:22" x14ac:dyDescent="0.25">
      <c r="N44" s="74"/>
      <c r="T44" s="194">
        <f>T42*1.3</f>
        <v>39468.219342328048</v>
      </c>
    </row>
    <row r="45" spans="1:22" x14ac:dyDescent="0.25">
      <c r="N45" s="74"/>
    </row>
    <row r="46" spans="1:22" x14ac:dyDescent="0.25">
      <c r="N46" s="74"/>
    </row>
    <row r="47" spans="1:22" x14ac:dyDescent="0.25">
      <c r="N47" s="74"/>
    </row>
    <row r="48" spans="1:22" x14ac:dyDescent="0.25">
      <c r="N48" s="74"/>
    </row>
    <row r="49" spans="14:14" x14ac:dyDescent="0.25">
      <c r="N49" s="74"/>
    </row>
    <row r="50" spans="14:14" x14ac:dyDescent="0.25">
      <c r="N50" s="74"/>
    </row>
    <row r="51" spans="14:14" x14ac:dyDescent="0.25">
      <c r="N51" s="74"/>
    </row>
    <row r="52" spans="14:14" x14ac:dyDescent="0.25">
      <c r="N52" s="74"/>
    </row>
    <row r="53" spans="14:14" x14ac:dyDescent="0.25">
      <c r="N53" s="74"/>
    </row>
    <row r="54" spans="14:14" x14ac:dyDescent="0.25">
      <c r="N54" s="74"/>
    </row>
    <row r="55" spans="14:14" x14ac:dyDescent="0.25">
      <c r="N55" s="74"/>
    </row>
    <row r="56" spans="14:14" x14ac:dyDescent="0.25">
      <c r="N56" s="74"/>
    </row>
    <row r="57" spans="14:14" x14ac:dyDescent="0.25">
      <c r="N57" s="74"/>
    </row>
    <row r="58" spans="14:14" x14ac:dyDescent="0.25">
      <c r="N58" s="74"/>
    </row>
    <row r="59" spans="14:14" x14ac:dyDescent="0.25">
      <c r="N59" s="74"/>
    </row>
    <row r="60" spans="14:14" x14ac:dyDescent="0.25">
      <c r="N60" s="74"/>
    </row>
    <row r="61" spans="14:14" x14ac:dyDescent="0.25">
      <c r="N61" s="74"/>
    </row>
    <row r="62" spans="14:14" x14ac:dyDescent="0.25">
      <c r="N62" s="74"/>
    </row>
    <row r="63" spans="14:14" x14ac:dyDescent="0.25">
      <c r="N63" s="74"/>
    </row>
    <row r="64" spans="14:14" x14ac:dyDescent="0.25">
      <c r="N64" s="74"/>
    </row>
    <row r="65" spans="14:14" x14ac:dyDescent="0.25">
      <c r="N65" s="74"/>
    </row>
    <row r="66" spans="14:14" x14ac:dyDescent="0.25">
      <c r="N66" s="74"/>
    </row>
    <row r="67" spans="14:14" x14ac:dyDescent="0.25">
      <c r="N67" s="74"/>
    </row>
    <row r="68" spans="14:14" x14ac:dyDescent="0.25">
      <c r="N68" s="74"/>
    </row>
    <row r="69" spans="14:14" x14ac:dyDescent="0.25">
      <c r="N69" s="74"/>
    </row>
    <row r="70" spans="14:14" x14ac:dyDescent="0.25">
      <c r="N70" s="74"/>
    </row>
    <row r="71" spans="14:14" x14ac:dyDescent="0.25">
      <c r="N71" s="74"/>
    </row>
    <row r="72" spans="14:14" x14ac:dyDescent="0.25">
      <c r="N72" s="74"/>
    </row>
    <row r="73" spans="14:14" x14ac:dyDescent="0.25">
      <c r="N73" s="74"/>
    </row>
    <row r="74" spans="14:14" x14ac:dyDescent="0.25">
      <c r="N74" s="74"/>
    </row>
    <row r="75" spans="14:14" x14ac:dyDescent="0.25">
      <c r="N75" s="74"/>
    </row>
    <row r="76" spans="14:14" x14ac:dyDescent="0.25">
      <c r="N76" s="74"/>
    </row>
    <row r="77" spans="14:14" x14ac:dyDescent="0.25">
      <c r="N77" s="74"/>
    </row>
    <row r="78" spans="14:14" x14ac:dyDescent="0.25">
      <c r="N78" s="74"/>
    </row>
    <row r="79" spans="14:14" x14ac:dyDescent="0.25">
      <c r="N79" s="74"/>
    </row>
    <row r="80" spans="14:14" x14ac:dyDescent="0.25">
      <c r="N80" s="74"/>
    </row>
    <row r="81" spans="14:14" x14ac:dyDescent="0.25">
      <c r="N81" s="74"/>
    </row>
    <row r="82" spans="14:14" x14ac:dyDescent="0.25">
      <c r="N82" s="74"/>
    </row>
    <row r="83" spans="14:14" x14ac:dyDescent="0.25">
      <c r="N83" s="74"/>
    </row>
    <row r="84" spans="14:14" x14ac:dyDescent="0.25">
      <c r="N84" s="74"/>
    </row>
    <row r="85" spans="14:14" x14ac:dyDescent="0.25">
      <c r="N85" s="74"/>
    </row>
    <row r="86" spans="14:14" x14ac:dyDescent="0.25">
      <c r="N86" s="74"/>
    </row>
    <row r="87" spans="14:14" x14ac:dyDescent="0.25">
      <c r="N87" s="74"/>
    </row>
    <row r="88" spans="14:14" x14ac:dyDescent="0.25">
      <c r="N88" s="74"/>
    </row>
    <row r="89" spans="14:14" x14ac:dyDescent="0.25">
      <c r="N89" s="74"/>
    </row>
    <row r="90" spans="14:14" x14ac:dyDescent="0.25">
      <c r="N90" s="74"/>
    </row>
    <row r="91" spans="14:14" x14ac:dyDescent="0.25">
      <c r="N91" s="74"/>
    </row>
    <row r="92" spans="14:14" x14ac:dyDescent="0.25">
      <c r="N92" s="74"/>
    </row>
    <row r="93" spans="14:14" x14ac:dyDescent="0.25">
      <c r="N93" s="74"/>
    </row>
    <row r="94" spans="14:14" x14ac:dyDescent="0.25">
      <c r="N94" s="74"/>
    </row>
    <row r="95" spans="14:14" x14ac:dyDescent="0.25">
      <c r="N95" s="74"/>
    </row>
    <row r="96" spans="14:14" x14ac:dyDescent="0.25">
      <c r="N96" s="74"/>
    </row>
    <row r="97" spans="14:14" x14ac:dyDescent="0.25">
      <c r="N97" s="74"/>
    </row>
    <row r="98" spans="14:14" x14ac:dyDescent="0.25">
      <c r="N98" s="74"/>
    </row>
    <row r="99" spans="14:14" x14ac:dyDescent="0.25">
      <c r="N99" s="74"/>
    </row>
    <row r="100" spans="14:14" x14ac:dyDescent="0.25">
      <c r="N100" s="74"/>
    </row>
    <row r="101" spans="14:14" x14ac:dyDescent="0.25">
      <c r="N101" s="74"/>
    </row>
    <row r="102" spans="14:14" x14ac:dyDescent="0.25">
      <c r="N102" s="74"/>
    </row>
    <row r="103" spans="14:14" x14ac:dyDescent="0.25">
      <c r="N103" s="74"/>
    </row>
    <row r="104" spans="14:14" x14ac:dyDescent="0.25">
      <c r="N104" s="74"/>
    </row>
    <row r="105" spans="14:14" x14ac:dyDescent="0.25">
      <c r="N105" s="74"/>
    </row>
    <row r="106" spans="14:14" x14ac:dyDescent="0.25">
      <c r="N106" s="74"/>
    </row>
    <row r="107" spans="14:14" x14ac:dyDescent="0.25">
      <c r="N107" s="74"/>
    </row>
    <row r="108" spans="14:14" x14ac:dyDescent="0.25">
      <c r="N108" s="74"/>
    </row>
    <row r="109" spans="14:14" x14ac:dyDescent="0.25">
      <c r="N109" s="74"/>
    </row>
    <row r="110" spans="14:14" x14ac:dyDescent="0.25">
      <c r="N110" s="74"/>
    </row>
    <row r="111" spans="14:14" x14ac:dyDescent="0.25">
      <c r="N111" s="74"/>
    </row>
    <row r="112" spans="14:14" x14ac:dyDescent="0.25">
      <c r="N112" s="74"/>
    </row>
    <row r="113" spans="14:14" x14ac:dyDescent="0.25">
      <c r="N113" s="74"/>
    </row>
    <row r="114" spans="14:14" x14ac:dyDescent="0.25">
      <c r="N114" s="74"/>
    </row>
    <row r="115" spans="14:14" x14ac:dyDescent="0.25">
      <c r="N115" s="74"/>
    </row>
    <row r="116" spans="14:14" x14ac:dyDescent="0.25">
      <c r="N116" s="74"/>
    </row>
    <row r="117" spans="14:14" x14ac:dyDescent="0.25">
      <c r="N117" s="74"/>
    </row>
    <row r="118" spans="14:14" x14ac:dyDescent="0.25">
      <c r="N118" s="74"/>
    </row>
    <row r="119" spans="14:14" x14ac:dyDescent="0.25">
      <c r="N119" s="74"/>
    </row>
    <row r="120" spans="14:14" x14ac:dyDescent="0.25">
      <c r="N120" s="74"/>
    </row>
    <row r="121" spans="14:14" x14ac:dyDescent="0.25">
      <c r="N121" s="74"/>
    </row>
    <row r="122" spans="14:14" x14ac:dyDescent="0.25">
      <c r="N122" s="74"/>
    </row>
    <row r="123" spans="14:14" x14ac:dyDescent="0.25">
      <c r="N123" s="74"/>
    </row>
    <row r="124" spans="14:14" x14ac:dyDescent="0.25">
      <c r="N124" s="74"/>
    </row>
    <row r="125" spans="14:14" x14ac:dyDescent="0.25">
      <c r="N125" s="74"/>
    </row>
    <row r="126" spans="14:14" x14ac:dyDescent="0.25">
      <c r="N126" s="74"/>
    </row>
    <row r="127" spans="14:14" x14ac:dyDescent="0.25">
      <c r="N127" s="74"/>
    </row>
    <row r="128" spans="14:14" x14ac:dyDescent="0.25">
      <c r="N128" s="74"/>
    </row>
    <row r="129" spans="14:14" x14ac:dyDescent="0.25">
      <c r="N129" s="74"/>
    </row>
    <row r="130" spans="14:14" x14ac:dyDescent="0.25">
      <c r="N130" s="74"/>
    </row>
    <row r="131" spans="14:14" x14ac:dyDescent="0.25">
      <c r="N131" s="74"/>
    </row>
    <row r="132" spans="14:14" x14ac:dyDescent="0.25">
      <c r="N132" s="74"/>
    </row>
    <row r="133" spans="14:14" x14ac:dyDescent="0.25">
      <c r="N133" s="74"/>
    </row>
    <row r="134" spans="14:14" x14ac:dyDescent="0.25">
      <c r="N134" s="74"/>
    </row>
    <row r="135" spans="14:14" x14ac:dyDescent="0.25">
      <c r="N135" s="74"/>
    </row>
    <row r="136" spans="14:14" x14ac:dyDescent="0.25">
      <c r="N136" s="74"/>
    </row>
    <row r="137" spans="14:14" x14ac:dyDescent="0.25">
      <c r="N137" s="74"/>
    </row>
    <row r="138" spans="14:14" x14ac:dyDescent="0.25">
      <c r="N138" s="74"/>
    </row>
    <row r="139" spans="14:14" x14ac:dyDescent="0.25">
      <c r="N139" s="74"/>
    </row>
    <row r="140" spans="14:14" x14ac:dyDescent="0.25">
      <c r="N140" s="74"/>
    </row>
    <row r="141" spans="14:14" x14ac:dyDescent="0.25">
      <c r="N141" s="74"/>
    </row>
    <row r="142" spans="14:14" x14ac:dyDescent="0.25">
      <c r="N142" s="74"/>
    </row>
    <row r="143" spans="14:14" x14ac:dyDescent="0.25">
      <c r="N143" s="74"/>
    </row>
    <row r="144" spans="14:14" x14ac:dyDescent="0.25">
      <c r="N144" s="74"/>
    </row>
    <row r="145" spans="14:14" x14ac:dyDescent="0.25">
      <c r="N145" s="74"/>
    </row>
    <row r="146" spans="14:14" x14ac:dyDescent="0.25">
      <c r="N146" s="74"/>
    </row>
    <row r="147" spans="14:14" x14ac:dyDescent="0.25">
      <c r="N147" s="74"/>
    </row>
    <row r="148" spans="14:14" x14ac:dyDescent="0.25">
      <c r="N148" s="74"/>
    </row>
    <row r="149" spans="14:14" x14ac:dyDescent="0.25">
      <c r="N149" s="74"/>
    </row>
    <row r="150" spans="14:14" x14ac:dyDescent="0.25">
      <c r="N150" s="74"/>
    </row>
    <row r="151" spans="14:14" x14ac:dyDescent="0.25">
      <c r="N151" s="74"/>
    </row>
    <row r="152" spans="14:14" x14ac:dyDescent="0.25">
      <c r="N152" s="74"/>
    </row>
    <row r="153" spans="14:14" x14ac:dyDescent="0.25">
      <c r="N153" s="74"/>
    </row>
    <row r="154" spans="14:14" x14ac:dyDescent="0.25">
      <c r="N154" s="74"/>
    </row>
    <row r="155" spans="14:14" x14ac:dyDescent="0.25">
      <c r="N155" s="74"/>
    </row>
    <row r="156" spans="14:14" x14ac:dyDescent="0.25">
      <c r="N156" s="74"/>
    </row>
    <row r="157" spans="14:14" x14ac:dyDescent="0.25">
      <c r="N157" s="74"/>
    </row>
    <row r="158" spans="14:14" x14ac:dyDescent="0.25">
      <c r="N158" s="74"/>
    </row>
    <row r="159" spans="14:14" x14ac:dyDescent="0.25">
      <c r="N159" s="74"/>
    </row>
    <row r="160" spans="14:14" x14ac:dyDescent="0.25">
      <c r="N160" s="74"/>
    </row>
    <row r="161" spans="14:14" x14ac:dyDescent="0.25">
      <c r="N161" s="74"/>
    </row>
    <row r="162" spans="14:14" x14ac:dyDescent="0.25">
      <c r="N162" s="74"/>
    </row>
    <row r="163" spans="14:14" x14ac:dyDescent="0.25">
      <c r="N163" s="74"/>
    </row>
    <row r="164" spans="14:14" x14ac:dyDescent="0.25">
      <c r="N164" s="74"/>
    </row>
    <row r="165" spans="14:14" x14ac:dyDescent="0.25">
      <c r="N165" s="74"/>
    </row>
    <row r="166" spans="14:14" x14ac:dyDescent="0.25">
      <c r="N166" s="74"/>
    </row>
    <row r="167" spans="14:14" x14ac:dyDescent="0.25">
      <c r="N167" s="74"/>
    </row>
    <row r="168" spans="14:14" x14ac:dyDescent="0.25">
      <c r="N168" s="74"/>
    </row>
    <row r="169" spans="14:14" x14ac:dyDescent="0.25">
      <c r="N169" s="74"/>
    </row>
    <row r="170" spans="14:14" x14ac:dyDescent="0.25">
      <c r="N170" s="74"/>
    </row>
    <row r="171" spans="14:14" x14ac:dyDescent="0.25">
      <c r="N171" s="74"/>
    </row>
    <row r="172" spans="14:14" x14ac:dyDescent="0.25">
      <c r="N172" s="74"/>
    </row>
    <row r="173" spans="14:14" x14ac:dyDescent="0.25">
      <c r="N173" s="74"/>
    </row>
    <row r="174" spans="14:14" x14ac:dyDescent="0.25">
      <c r="N174" s="74"/>
    </row>
    <row r="175" spans="14:14" x14ac:dyDescent="0.25">
      <c r="N175" s="74"/>
    </row>
    <row r="176" spans="14:14" x14ac:dyDescent="0.25">
      <c r="N176" s="74"/>
    </row>
    <row r="177" spans="14:14" x14ac:dyDescent="0.25">
      <c r="N177" s="74"/>
    </row>
    <row r="178" spans="14:14" x14ac:dyDescent="0.25">
      <c r="N178" s="74"/>
    </row>
    <row r="179" spans="14:14" x14ac:dyDescent="0.25">
      <c r="N179" s="74"/>
    </row>
    <row r="180" spans="14:14" x14ac:dyDescent="0.25">
      <c r="N180" s="74"/>
    </row>
    <row r="181" spans="14:14" x14ac:dyDescent="0.25">
      <c r="N181" s="74"/>
    </row>
    <row r="182" spans="14:14" x14ac:dyDescent="0.25">
      <c r="N182" s="74"/>
    </row>
    <row r="183" spans="14:14" x14ac:dyDescent="0.25">
      <c r="N183" s="74"/>
    </row>
    <row r="184" spans="14:14" x14ac:dyDescent="0.25">
      <c r="N184" s="74"/>
    </row>
    <row r="185" spans="14:14" x14ac:dyDescent="0.25">
      <c r="N185" s="74"/>
    </row>
    <row r="186" spans="14:14" x14ac:dyDescent="0.25">
      <c r="N186" s="74"/>
    </row>
    <row r="187" spans="14:14" x14ac:dyDescent="0.25">
      <c r="N187" s="74"/>
    </row>
    <row r="188" spans="14:14" x14ac:dyDescent="0.25">
      <c r="N188" s="74"/>
    </row>
    <row r="189" spans="14:14" x14ac:dyDescent="0.25">
      <c r="N189" s="74"/>
    </row>
    <row r="190" spans="14:14" x14ac:dyDescent="0.25">
      <c r="N190" s="74"/>
    </row>
    <row r="191" spans="14:14" x14ac:dyDescent="0.25">
      <c r="N191" s="74"/>
    </row>
    <row r="192" spans="14:14" x14ac:dyDescent="0.25">
      <c r="N192" s="74"/>
    </row>
    <row r="193" spans="14:14" x14ac:dyDescent="0.25">
      <c r="N193" s="74"/>
    </row>
    <row r="194" spans="14:14" x14ac:dyDescent="0.25">
      <c r="N194" s="74"/>
    </row>
    <row r="195" spans="14:14" x14ac:dyDescent="0.25">
      <c r="N195" s="74"/>
    </row>
    <row r="196" spans="14:14" x14ac:dyDescent="0.25">
      <c r="N196" s="74"/>
    </row>
    <row r="197" spans="14:14" x14ac:dyDescent="0.25">
      <c r="N197" s="74"/>
    </row>
    <row r="198" spans="14:14" x14ac:dyDescent="0.25">
      <c r="N198" s="74"/>
    </row>
    <row r="199" spans="14:14" x14ac:dyDescent="0.25">
      <c r="N199" s="74"/>
    </row>
    <row r="200" spans="14:14" x14ac:dyDescent="0.25">
      <c r="N200" s="74"/>
    </row>
    <row r="201" spans="14:14" x14ac:dyDescent="0.25">
      <c r="N201" s="74"/>
    </row>
    <row r="202" spans="14:14" x14ac:dyDescent="0.25">
      <c r="N202" s="74"/>
    </row>
    <row r="203" spans="14:14" x14ac:dyDescent="0.25">
      <c r="N203" s="74"/>
    </row>
    <row r="204" spans="14:14" x14ac:dyDescent="0.25">
      <c r="N204" s="74"/>
    </row>
    <row r="205" spans="14:14" x14ac:dyDescent="0.25">
      <c r="N205" s="74"/>
    </row>
    <row r="206" spans="14:14" x14ac:dyDescent="0.25">
      <c r="N206" s="74"/>
    </row>
    <row r="207" spans="14:14" x14ac:dyDescent="0.25">
      <c r="N207" s="74"/>
    </row>
    <row r="208" spans="14:14" x14ac:dyDescent="0.25">
      <c r="N208" s="74"/>
    </row>
    <row r="209" spans="14:14" x14ac:dyDescent="0.25">
      <c r="N209" s="74"/>
    </row>
    <row r="210" spans="14:14" x14ac:dyDescent="0.25">
      <c r="N210" s="74"/>
    </row>
    <row r="211" spans="14:14" x14ac:dyDescent="0.25">
      <c r="N211" s="74"/>
    </row>
    <row r="212" spans="14:14" x14ac:dyDescent="0.25">
      <c r="N212" s="74"/>
    </row>
    <row r="213" spans="14:14" x14ac:dyDescent="0.25">
      <c r="N213" s="74"/>
    </row>
    <row r="214" spans="14:14" x14ac:dyDescent="0.25">
      <c r="N214" s="74"/>
    </row>
    <row r="215" spans="14:14" x14ac:dyDescent="0.25">
      <c r="N215" s="74"/>
    </row>
    <row r="216" spans="14:14" x14ac:dyDescent="0.25">
      <c r="N216" s="74"/>
    </row>
    <row r="217" spans="14:14" x14ac:dyDescent="0.25">
      <c r="N217" s="74"/>
    </row>
    <row r="218" spans="14:14" x14ac:dyDescent="0.25">
      <c r="N218" s="74"/>
    </row>
    <row r="219" spans="14:14" x14ac:dyDescent="0.25">
      <c r="N219" s="74"/>
    </row>
    <row r="220" spans="14:14" x14ac:dyDescent="0.25">
      <c r="N220" s="74"/>
    </row>
    <row r="221" spans="14:14" x14ac:dyDescent="0.25">
      <c r="N221" s="74"/>
    </row>
    <row r="222" spans="14:14" x14ac:dyDescent="0.25">
      <c r="N222" s="74"/>
    </row>
    <row r="223" spans="14:14" x14ac:dyDescent="0.25">
      <c r="N223" s="74"/>
    </row>
    <row r="224" spans="14:14" x14ac:dyDescent="0.25">
      <c r="N224" s="74"/>
    </row>
    <row r="225" spans="14:14" x14ac:dyDescent="0.25">
      <c r="N225" s="74"/>
    </row>
    <row r="226" spans="14:14" x14ac:dyDescent="0.25">
      <c r="N226" s="74"/>
    </row>
    <row r="227" spans="14:14" x14ac:dyDescent="0.25">
      <c r="N227" s="74"/>
    </row>
    <row r="228" spans="14:14" x14ac:dyDescent="0.25">
      <c r="N228" s="74"/>
    </row>
    <row r="229" spans="14:14" x14ac:dyDescent="0.25">
      <c r="N229" s="74"/>
    </row>
    <row r="230" spans="14:14" x14ac:dyDescent="0.25">
      <c r="N230" s="74"/>
    </row>
    <row r="231" spans="14:14" x14ac:dyDescent="0.25">
      <c r="N231" s="74"/>
    </row>
    <row r="232" spans="14:14" x14ac:dyDescent="0.25">
      <c r="N232" s="74"/>
    </row>
    <row r="233" spans="14:14" x14ac:dyDescent="0.25">
      <c r="N233" s="74"/>
    </row>
    <row r="234" spans="14:14" x14ac:dyDescent="0.25">
      <c r="N234" s="74"/>
    </row>
    <row r="235" spans="14:14" x14ac:dyDescent="0.25">
      <c r="N235" s="74"/>
    </row>
    <row r="236" spans="14:14" x14ac:dyDescent="0.25">
      <c r="N236" s="74"/>
    </row>
    <row r="237" spans="14:14" x14ac:dyDescent="0.25">
      <c r="N237" s="74"/>
    </row>
    <row r="238" spans="14:14" x14ac:dyDescent="0.25">
      <c r="N238" s="74"/>
    </row>
    <row r="239" spans="14:14" x14ac:dyDescent="0.25">
      <c r="N239" s="74"/>
    </row>
    <row r="240" spans="14:14" x14ac:dyDescent="0.25">
      <c r="N240" s="74"/>
    </row>
    <row r="241" spans="14:14" x14ac:dyDescent="0.25">
      <c r="N241" s="74"/>
    </row>
    <row r="242" spans="14:14" x14ac:dyDescent="0.25">
      <c r="N242" s="74"/>
    </row>
    <row r="243" spans="14:14" x14ac:dyDescent="0.25">
      <c r="N243" s="74"/>
    </row>
    <row r="244" spans="14:14" x14ac:dyDescent="0.25">
      <c r="N244" s="74"/>
    </row>
    <row r="245" spans="14:14" x14ac:dyDescent="0.25">
      <c r="N245" s="74"/>
    </row>
    <row r="246" spans="14:14" x14ac:dyDescent="0.25">
      <c r="N246" s="74"/>
    </row>
    <row r="247" spans="14:14" x14ac:dyDescent="0.25">
      <c r="N247" s="74"/>
    </row>
    <row r="248" spans="14:14" x14ac:dyDescent="0.25">
      <c r="N248" s="74"/>
    </row>
    <row r="249" spans="14:14" x14ac:dyDescent="0.25">
      <c r="N249" s="74"/>
    </row>
    <row r="250" spans="14:14" x14ac:dyDescent="0.25">
      <c r="N250" s="74"/>
    </row>
    <row r="251" spans="14:14" x14ac:dyDescent="0.25">
      <c r="N251" s="74"/>
    </row>
    <row r="252" spans="14:14" x14ac:dyDescent="0.25">
      <c r="N252" s="74"/>
    </row>
    <row r="253" spans="14:14" x14ac:dyDescent="0.25">
      <c r="N253" s="74"/>
    </row>
    <row r="254" spans="14:14" x14ac:dyDescent="0.25">
      <c r="N254" s="74"/>
    </row>
    <row r="255" spans="14:14" x14ac:dyDescent="0.25">
      <c r="N255" s="74"/>
    </row>
    <row r="256" spans="14:14" x14ac:dyDescent="0.25">
      <c r="N256" s="74"/>
    </row>
    <row r="257" spans="14:14" x14ac:dyDescent="0.25">
      <c r="N257" s="74"/>
    </row>
    <row r="258" spans="14:14" x14ac:dyDescent="0.25">
      <c r="N258" s="74"/>
    </row>
    <row r="259" spans="14:14" x14ac:dyDescent="0.25">
      <c r="N259" s="74"/>
    </row>
    <row r="260" spans="14:14" x14ac:dyDescent="0.25">
      <c r="N260" s="74"/>
    </row>
    <row r="261" spans="14:14" x14ac:dyDescent="0.25">
      <c r="N261" s="74"/>
    </row>
    <row r="262" spans="14:14" x14ac:dyDescent="0.25">
      <c r="N262" s="74"/>
    </row>
    <row r="263" spans="14:14" x14ac:dyDescent="0.25">
      <c r="N263" s="74"/>
    </row>
    <row r="264" spans="14:14" x14ac:dyDescent="0.25">
      <c r="N264" s="74"/>
    </row>
    <row r="265" spans="14:14" x14ac:dyDescent="0.25">
      <c r="N265" s="74"/>
    </row>
    <row r="266" spans="14:14" x14ac:dyDescent="0.25">
      <c r="N266" s="74"/>
    </row>
    <row r="267" spans="14:14" x14ac:dyDescent="0.25">
      <c r="N267" s="74"/>
    </row>
    <row r="268" spans="14:14" x14ac:dyDescent="0.25">
      <c r="N268" s="74"/>
    </row>
    <row r="269" spans="14:14" x14ac:dyDescent="0.25">
      <c r="N269" s="74"/>
    </row>
    <row r="270" spans="14:14" x14ac:dyDescent="0.25">
      <c r="N270" s="74"/>
    </row>
    <row r="271" spans="14:14" x14ac:dyDescent="0.25">
      <c r="N271" s="74"/>
    </row>
    <row r="272" spans="14:14" x14ac:dyDescent="0.25">
      <c r="N272" s="74"/>
    </row>
    <row r="273" spans="14:14" x14ac:dyDescent="0.25">
      <c r="N273" s="74"/>
    </row>
    <row r="274" spans="14:14" x14ac:dyDescent="0.25">
      <c r="N274" s="74"/>
    </row>
    <row r="275" spans="14:14" x14ac:dyDescent="0.25">
      <c r="N275" s="74"/>
    </row>
    <row r="276" spans="14:14" x14ac:dyDescent="0.25">
      <c r="N276" s="74"/>
    </row>
    <row r="277" spans="14:14" x14ac:dyDescent="0.25">
      <c r="N277" s="74"/>
    </row>
    <row r="278" spans="14:14" x14ac:dyDescent="0.25">
      <c r="N278" s="74"/>
    </row>
    <row r="279" spans="14:14" x14ac:dyDescent="0.25">
      <c r="N279" s="74"/>
    </row>
    <row r="280" spans="14:14" x14ac:dyDescent="0.25">
      <c r="N280" s="74"/>
    </row>
    <row r="281" spans="14:14" x14ac:dyDescent="0.25">
      <c r="N281" s="74"/>
    </row>
    <row r="282" spans="14:14" x14ac:dyDescent="0.25">
      <c r="N282" s="74"/>
    </row>
    <row r="283" spans="14:14" x14ac:dyDescent="0.25">
      <c r="N283" s="74"/>
    </row>
    <row r="284" spans="14:14" x14ac:dyDescent="0.25">
      <c r="N284" s="74"/>
    </row>
    <row r="285" spans="14:14" x14ac:dyDescent="0.25">
      <c r="N285" s="74"/>
    </row>
    <row r="286" spans="14:14" x14ac:dyDescent="0.25">
      <c r="N286" s="74"/>
    </row>
    <row r="287" spans="14:14" x14ac:dyDescent="0.25">
      <c r="N287" s="74"/>
    </row>
    <row r="288" spans="14:14" x14ac:dyDescent="0.25">
      <c r="N288" s="74"/>
    </row>
    <row r="289" spans="14:14" x14ac:dyDescent="0.25">
      <c r="N289" s="74"/>
    </row>
    <row r="290" spans="14:14" x14ac:dyDescent="0.25">
      <c r="N290" s="74"/>
    </row>
    <row r="291" spans="14:14" x14ac:dyDescent="0.25">
      <c r="N291" s="74"/>
    </row>
    <row r="292" spans="14:14" x14ac:dyDescent="0.25">
      <c r="N292" s="74"/>
    </row>
    <row r="293" spans="14:14" x14ac:dyDescent="0.25">
      <c r="N293" s="74"/>
    </row>
    <row r="294" spans="14:14" x14ac:dyDescent="0.25">
      <c r="N294" s="74"/>
    </row>
    <row r="295" spans="14:14" x14ac:dyDescent="0.25">
      <c r="N295" s="74"/>
    </row>
    <row r="296" spans="14:14" x14ac:dyDescent="0.25">
      <c r="N296" s="74"/>
    </row>
    <row r="297" spans="14:14" x14ac:dyDescent="0.25">
      <c r="N297" s="74"/>
    </row>
    <row r="298" spans="14:14" x14ac:dyDescent="0.25">
      <c r="N298" s="74"/>
    </row>
    <row r="299" spans="14:14" x14ac:dyDescent="0.25">
      <c r="N299" s="74"/>
    </row>
    <row r="300" spans="14:14" x14ac:dyDescent="0.25">
      <c r="N300" s="74"/>
    </row>
    <row r="301" spans="14:14" x14ac:dyDescent="0.25">
      <c r="N301" s="74"/>
    </row>
    <row r="302" spans="14:14" x14ac:dyDescent="0.25">
      <c r="N302" s="74"/>
    </row>
    <row r="303" spans="14:14" x14ac:dyDescent="0.25">
      <c r="N303" s="74"/>
    </row>
    <row r="304" spans="14:14" x14ac:dyDescent="0.25">
      <c r="N304" s="74"/>
    </row>
    <row r="305" spans="14:14" x14ac:dyDescent="0.25">
      <c r="N305" s="74"/>
    </row>
    <row r="306" spans="14:14" x14ac:dyDescent="0.25">
      <c r="N306" s="74"/>
    </row>
    <row r="307" spans="14:14" x14ac:dyDescent="0.25">
      <c r="N307" s="74"/>
    </row>
    <row r="308" spans="14:14" x14ac:dyDescent="0.25">
      <c r="N308" s="74"/>
    </row>
    <row r="309" spans="14:14" x14ac:dyDescent="0.25">
      <c r="N309" s="74"/>
    </row>
    <row r="310" spans="14:14" x14ac:dyDescent="0.25">
      <c r="N310" s="74"/>
    </row>
    <row r="311" spans="14:14" x14ac:dyDescent="0.25">
      <c r="N311" s="74"/>
    </row>
    <row r="312" spans="14:14" x14ac:dyDescent="0.25">
      <c r="N312" s="74"/>
    </row>
    <row r="313" spans="14:14" x14ac:dyDescent="0.25">
      <c r="N313" s="74"/>
    </row>
    <row r="314" spans="14:14" x14ac:dyDescent="0.25">
      <c r="N314" s="74"/>
    </row>
    <row r="315" spans="14:14" x14ac:dyDescent="0.25">
      <c r="N315" s="74"/>
    </row>
    <row r="316" spans="14:14" x14ac:dyDescent="0.25">
      <c r="N316" s="74"/>
    </row>
    <row r="317" spans="14:14" x14ac:dyDescent="0.25">
      <c r="N317" s="74"/>
    </row>
    <row r="318" spans="14:14" x14ac:dyDescent="0.25">
      <c r="N318" s="74"/>
    </row>
    <row r="319" spans="14:14" x14ac:dyDescent="0.25">
      <c r="N319" s="74"/>
    </row>
    <row r="320" spans="14:14" x14ac:dyDescent="0.25">
      <c r="N320" s="74"/>
    </row>
    <row r="321" spans="14:14" x14ac:dyDescent="0.25">
      <c r="N321" s="74"/>
    </row>
    <row r="322" spans="14:14" x14ac:dyDescent="0.25">
      <c r="N322" s="74"/>
    </row>
    <row r="323" spans="14:14" x14ac:dyDescent="0.25">
      <c r="N323" s="74"/>
    </row>
    <row r="324" spans="14:14" x14ac:dyDescent="0.25">
      <c r="N324" s="74"/>
    </row>
    <row r="325" spans="14:14" x14ac:dyDescent="0.25">
      <c r="N325" s="74"/>
    </row>
    <row r="326" spans="14:14" x14ac:dyDescent="0.25">
      <c r="N326" s="74"/>
    </row>
    <row r="327" spans="14:14" x14ac:dyDescent="0.25">
      <c r="N327" s="74"/>
    </row>
    <row r="328" spans="14:14" x14ac:dyDescent="0.25">
      <c r="N328" s="74"/>
    </row>
    <row r="329" spans="14:14" x14ac:dyDescent="0.25">
      <c r="N329" s="74"/>
    </row>
    <row r="330" spans="14:14" x14ac:dyDescent="0.25">
      <c r="N330" s="74"/>
    </row>
    <row r="331" spans="14:14" x14ac:dyDescent="0.25">
      <c r="N331" s="74"/>
    </row>
    <row r="332" spans="14:14" x14ac:dyDescent="0.25">
      <c r="N332" s="74"/>
    </row>
    <row r="333" spans="14:14" x14ac:dyDescent="0.25">
      <c r="N333" s="74"/>
    </row>
    <row r="334" spans="14:14" x14ac:dyDescent="0.25">
      <c r="N334" s="74"/>
    </row>
    <row r="335" spans="14:14" x14ac:dyDescent="0.25">
      <c r="N335" s="74"/>
    </row>
    <row r="336" spans="14:14" x14ac:dyDescent="0.25">
      <c r="N336" s="74"/>
    </row>
    <row r="337" spans="14:14" x14ac:dyDescent="0.25">
      <c r="N337" s="74"/>
    </row>
    <row r="338" spans="14:14" x14ac:dyDescent="0.25">
      <c r="N338" s="74"/>
    </row>
    <row r="339" spans="14:14" x14ac:dyDescent="0.25">
      <c r="N339" s="74"/>
    </row>
    <row r="340" spans="14:14" x14ac:dyDescent="0.25">
      <c r="N340" s="74"/>
    </row>
    <row r="341" spans="14:14" x14ac:dyDescent="0.25">
      <c r="N341" s="74"/>
    </row>
    <row r="342" spans="14:14" x14ac:dyDescent="0.25">
      <c r="N342" s="74"/>
    </row>
    <row r="343" spans="14:14" x14ac:dyDescent="0.25">
      <c r="N343" s="74"/>
    </row>
    <row r="344" spans="14:14" x14ac:dyDescent="0.25">
      <c r="N344" s="74"/>
    </row>
    <row r="345" spans="14:14" x14ac:dyDescent="0.25">
      <c r="N345" s="74"/>
    </row>
    <row r="346" spans="14:14" x14ac:dyDescent="0.25">
      <c r="N346" s="74"/>
    </row>
    <row r="347" spans="14:14" x14ac:dyDescent="0.25">
      <c r="N347" s="74"/>
    </row>
    <row r="348" spans="14:14" x14ac:dyDescent="0.25">
      <c r="N348" s="74"/>
    </row>
    <row r="349" spans="14:14" x14ac:dyDescent="0.25">
      <c r="N349" s="74"/>
    </row>
    <row r="350" spans="14:14" x14ac:dyDescent="0.25">
      <c r="N350" s="74"/>
    </row>
    <row r="351" spans="14:14" x14ac:dyDescent="0.25">
      <c r="N351" s="74"/>
    </row>
    <row r="352" spans="14:14" x14ac:dyDescent="0.25">
      <c r="N352" s="74"/>
    </row>
    <row r="353" spans="14:14" x14ac:dyDescent="0.25">
      <c r="N353" s="74"/>
    </row>
    <row r="354" spans="14:14" x14ac:dyDescent="0.25">
      <c r="N354" s="74"/>
    </row>
    <row r="355" spans="14:14" x14ac:dyDescent="0.25">
      <c r="N355" s="74"/>
    </row>
    <row r="356" spans="14:14" x14ac:dyDescent="0.25">
      <c r="N356" s="74"/>
    </row>
    <row r="357" spans="14:14" x14ac:dyDescent="0.25">
      <c r="N357" s="74"/>
    </row>
    <row r="358" spans="14:14" x14ac:dyDescent="0.25">
      <c r="N358" s="74"/>
    </row>
    <row r="359" spans="14:14" x14ac:dyDescent="0.25">
      <c r="N359" s="74"/>
    </row>
    <row r="360" spans="14:14" x14ac:dyDescent="0.25">
      <c r="N360" s="74"/>
    </row>
    <row r="361" spans="14:14" x14ac:dyDescent="0.25">
      <c r="N361" s="74"/>
    </row>
    <row r="362" spans="14:14" x14ac:dyDescent="0.25">
      <c r="N362" s="74"/>
    </row>
    <row r="363" spans="14:14" x14ac:dyDescent="0.25">
      <c r="N363" s="74"/>
    </row>
    <row r="364" spans="14:14" x14ac:dyDescent="0.25">
      <c r="N364" s="74"/>
    </row>
    <row r="365" spans="14:14" x14ac:dyDescent="0.25">
      <c r="N365" s="74"/>
    </row>
    <row r="366" spans="14:14" x14ac:dyDescent="0.25">
      <c r="N366" s="74"/>
    </row>
    <row r="367" spans="14:14" x14ac:dyDescent="0.25">
      <c r="N367" s="74"/>
    </row>
    <row r="368" spans="14:14" x14ac:dyDescent="0.25">
      <c r="N368" s="74"/>
    </row>
    <row r="369" spans="14:14" x14ac:dyDescent="0.25">
      <c r="N369" s="74"/>
    </row>
    <row r="370" spans="14:14" x14ac:dyDescent="0.25">
      <c r="N370" s="74"/>
    </row>
    <row r="371" spans="14:14" x14ac:dyDescent="0.25">
      <c r="N371" s="74"/>
    </row>
    <row r="372" spans="14:14" x14ac:dyDescent="0.25">
      <c r="N372" s="74"/>
    </row>
    <row r="373" spans="14:14" x14ac:dyDescent="0.25">
      <c r="N373" s="74"/>
    </row>
    <row r="374" spans="14:14" x14ac:dyDescent="0.25">
      <c r="N374" s="74"/>
    </row>
    <row r="375" spans="14:14" x14ac:dyDescent="0.25">
      <c r="N375" s="74"/>
    </row>
    <row r="376" spans="14:14" x14ac:dyDescent="0.25">
      <c r="N376" s="74"/>
    </row>
    <row r="377" spans="14:14" x14ac:dyDescent="0.25">
      <c r="N377" s="74"/>
    </row>
    <row r="378" spans="14:14" x14ac:dyDescent="0.25">
      <c r="N378" s="74"/>
    </row>
    <row r="379" spans="14:14" x14ac:dyDescent="0.25">
      <c r="N379" s="74"/>
    </row>
    <row r="380" spans="14:14" x14ac:dyDescent="0.25">
      <c r="N380" s="74"/>
    </row>
    <row r="381" spans="14:14" x14ac:dyDescent="0.25">
      <c r="N381" s="74"/>
    </row>
    <row r="382" spans="14:14" x14ac:dyDescent="0.25">
      <c r="N382" s="74"/>
    </row>
    <row r="383" spans="14:14" x14ac:dyDescent="0.25">
      <c r="N383" s="74"/>
    </row>
    <row r="384" spans="14:14" x14ac:dyDescent="0.25">
      <c r="N384" s="74"/>
    </row>
    <row r="385" spans="14:14" x14ac:dyDescent="0.25">
      <c r="N385" s="74"/>
    </row>
    <row r="386" spans="14:14" x14ac:dyDescent="0.25">
      <c r="N386" s="74"/>
    </row>
    <row r="387" spans="14:14" x14ac:dyDescent="0.25">
      <c r="N387" s="74"/>
    </row>
    <row r="388" spans="14:14" x14ac:dyDescent="0.25">
      <c r="N388" s="74"/>
    </row>
    <row r="389" spans="14:14" x14ac:dyDescent="0.25">
      <c r="N389" s="74"/>
    </row>
    <row r="390" spans="14:14" x14ac:dyDescent="0.25">
      <c r="N390" s="74"/>
    </row>
    <row r="391" spans="14:14" x14ac:dyDescent="0.25">
      <c r="N391" s="74"/>
    </row>
    <row r="392" spans="14:14" x14ac:dyDescent="0.25">
      <c r="N392" s="74"/>
    </row>
    <row r="393" spans="14:14" x14ac:dyDescent="0.25">
      <c r="N393" s="74"/>
    </row>
    <row r="394" spans="14:14" x14ac:dyDescent="0.25">
      <c r="N394" s="74"/>
    </row>
    <row r="395" spans="14:14" x14ac:dyDescent="0.25">
      <c r="N395" s="74"/>
    </row>
    <row r="396" spans="14:14" x14ac:dyDescent="0.25">
      <c r="N396" s="74"/>
    </row>
    <row r="397" spans="14:14" x14ac:dyDescent="0.25">
      <c r="N397" s="74"/>
    </row>
    <row r="398" spans="14:14" x14ac:dyDescent="0.25">
      <c r="N398" s="74"/>
    </row>
    <row r="399" spans="14:14" x14ac:dyDescent="0.25">
      <c r="N399" s="74"/>
    </row>
    <row r="400" spans="14:14" x14ac:dyDescent="0.25">
      <c r="N400" s="74"/>
    </row>
    <row r="401" spans="14:14" x14ac:dyDescent="0.25">
      <c r="N401" s="74"/>
    </row>
    <row r="402" spans="14:14" x14ac:dyDescent="0.25">
      <c r="N402" s="74"/>
    </row>
    <row r="403" spans="14:14" x14ac:dyDescent="0.25">
      <c r="N403" s="74"/>
    </row>
    <row r="404" spans="14:14" x14ac:dyDescent="0.25">
      <c r="N404" s="74"/>
    </row>
    <row r="405" spans="14:14" x14ac:dyDescent="0.25">
      <c r="N405" s="74"/>
    </row>
    <row r="406" spans="14:14" x14ac:dyDescent="0.25">
      <c r="N406" s="74"/>
    </row>
    <row r="407" spans="14:14" x14ac:dyDescent="0.25">
      <c r="N407" s="74"/>
    </row>
    <row r="408" spans="14:14" x14ac:dyDescent="0.25">
      <c r="N408" s="74"/>
    </row>
    <row r="409" spans="14:14" x14ac:dyDescent="0.25">
      <c r="N409" s="74"/>
    </row>
    <row r="410" spans="14:14" x14ac:dyDescent="0.25">
      <c r="N410" s="74"/>
    </row>
    <row r="411" spans="14:14" x14ac:dyDescent="0.25">
      <c r="N411" s="74"/>
    </row>
    <row r="412" spans="14:14" x14ac:dyDescent="0.25">
      <c r="N412" s="74"/>
    </row>
    <row r="413" spans="14:14" x14ac:dyDescent="0.25">
      <c r="N413" s="74"/>
    </row>
    <row r="414" spans="14:14" x14ac:dyDescent="0.25">
      <c r="N414" s="74"/>
    </row>
    <row r="415" spans="14:14" x14ac:dyDescent="0.25">
      <c r="N415" s="74"/>
    </row>
    <row r="416" spans="14:14" x14ac:dyDescent="0.25">
      <c r="N416" s="74"/>
    </row>
    <row r="417" spans="14:14" x14ac:dyDescent="0.25">
      <c r="N417" s="74"/>
    </row>
    <row r="418" spans="14:14" x14ac:dyDescent="0.25">
      <c r="N418" s="74"/>
    </row>
    <row r="419" spans="14:14" x14ac:dyDescent="0.25">
      <c r="N419" s="74"/>
    </row>
    <row r="420" spans="14:14" x14ac:dyDescent="0.25">
      <c r="N420" s="74"/>
    </row>
    <row r="421" spans="14:14" x14ac:dyDescent="0.25">
      <c r="N421" s="74"/>
    </row>
    <row r="422" spans="14:14" x14ac:dyDescent="0.25">
      <c r="N422" s="74"/>
    </row>
    <row r="423" spans="14:14" x14ac:dyDescent="0.25">
      <c r="N423" s="74"/>
    </row>
    <row r="424" spans="14:14" x14ac:dyDescent="0.25">
      <c r="N424" s="74"/>
    </row>
    <row r="425" spans="14:14" x14ac:dyDescent="0.25">
      <c r="N425" s="74"/>
    </row>
    <row r="426" spans="14:14" x14ac:dyDescent="0.25">
      <c r="N426" s="74"/>
    </row>
    <row r="427" spans="14:14" x14ac:dyDescent="0.25">
      <c r="N427" s="74"/>
    </row>
    <row r="428" spans="14:14" x14ac:dyDescent="0.25">
      <c r="N428" s="74"/>
    </row>
    <row r="429" spans="14:14" x14ac:dyDescent="0.25">
      <c r="N429" s="74"/>
    </row>
    <row r="430" spans="14:14" x14ac:dyDescent="0.25">
      <c r="N430" s="74"/>
    </row>
    <row r="431" spans="14:14" x14ac:dyDescent="0.25">
      <c r="N431" s="74"/>
    </row>
    <row r="432" spans="14:14" x14ac:dyDescent="0.25">
      <c r="N432" s="74"/>
    </row>
    <row r="433" spans="14:14" x14ac:dyDescent="0.25">
      <c r="N433" s="74"/>
    </row>
    <row r="434" spans="14:14" x14ac:dyDescent="0.25">
      <c r="N434" s="74"/>
    </row>
    <row r="435" spans="14:14" x14ac:dyDescent="0.25">
      <c r="N435" s="74"/>
    </row>
    <row r="436" spans="14:14" x14ac:dyDescent="0.25">
      <c r="N436" s="74"/>
    </row>
    <row r="437" spans="14:14" x14ac:dyDescent="0.25">
      <c r="N437" s="74"/>
    </row>
    <row r="438" spans="14:14" x14ac:dyDescent="0.25">
      <c r="N438" s="74"/>
    </row>
    <row r="439" spans="14:14" x14ac:dyDescent="0.25">
      <c r="N439" s="74"/>
    </row>
    <row r="440" spans="14:14" x14ac:dyDescent="0.25">
      <c r="N440" s="74"/>
    </row>
    <row r="441" spans="14:14" x14ac:dyDescent="0.25">
      <c r="N441" s="74"/>
    </row>
    <row r="442" spans="14:14" x14ac:dyDescent="0.25">
      <c r="N442" s="74"/>
    </row>
    <row r="443" spans="14:14" x14ac:dyDescent="0.25">
      <c r="N443" s="74"/>
    </row>
    <row r="444" spans="14:14" x14ac:dyDescent="0.25">
      <c r="N444" s="74"/>
    </row>
    <row r="445" spans="14:14" x14ac:dyDescent="0.25">
      <c r="N445" s="74"/>
    </row>
    <row r="446" spans="14:14" x14ac:dyDescent="0.25">
      <c r="N446" s="74"/>
    </row>
    <row r="447" spans="14:14" x14ac:dyDescent="0.25">
      <c r="N447" s="74"/>
    </row>
    <row r="448" spans="14:14" x14ac:dyDescent="0.25">
      <c r="N448" s="74"/>
    </row>
    <row r="449" spans="14:14" x14ac:dyDescent="0.25">
      <c r="N449" s="74"/>
    </row>
    <row r="450" spans="14:14" x14ac:dyDescent="0.25">
      <c r="N450" s="74"/>
    </row>
    <row r="451" spans="14:14" x14ac:dyDescent="0.25">
      <c r="N451" s="74"/>
    </row>
    <row r="452" spans="14:14" x14ac:dyDescent="0.25">
      <c r="N452" s="74"/>
    </row>
    <row r="453" spans="14:14" x14ac:dyDescent="0.25">
      <c r="N453" s="74"/>
    </row>
    <row r="454" spans="14:14" x14ac:dyDescent="0.25">
      <c r="N454" s="74"/>
    </row>
    <row r="455" spans="14:14" x14ac:dyDescent="0.25">
      <c r="N455" s="74"/>
    </row>
    <row r="456" spans="14:14" x14ac:dyDescent="0.25">
      <c r="N456" s="74"/>
    </row>
    <row r="457" spans="14:14" x14ac:dyDescent="0.25">
      <c r="N457" s="74"/>
    </row>
    <row r="458" spans="14:14" x14ac:dyDescent="0.25">
      <c r="N458" s="74"/>
    </row>
    <row r="459" spans="14:14" x14ac:dyDescent="0.25">
      <c r="N459" s="74"/>
    </row>
    <row r="460" spans="14:14" x14ac:dyDescent="0.25">
      <c r="N460" s="74"/>
    </row>
    <row r="461" spans="14:14" x14ac:dyDescent="0.25">
      <c r="N461" s="74"/>
    </row>
    <row r="462" spans="14:14" x14ac:dyDescent="0.25">
      <c r="N462" s="74"/>
    </row>
    <row r="463" spans="14:14" x14ac:dyDescent="0.25">
      <c r="N463" s="74"/>
    </row>
    <row r="464" spans="14:14" x14ac:dyDescent="0.25">
      <c r="N464" s="74"/>
    </row>
    <row r="465" spans="14:14" x14ac:dyDescent="0.25">
      <c r="N465" s="74"/>
    </row>
    <row r="466" spans="14:14" x14ac:dyDescent="0.25">
      <c r="N466" s="74"/>
    </row>
    <row r="467" spans="14:14" x14ac:dyDescent="0.25">
      <c r="N467" s="74"/>
    </row>
    <row r="468" spans="14:14" x14ac:dyDescent="0.25">
      <c r="N468" s="74"/>
    </row>
    <row r="469" spans="14:14" x14ac:dyDescent="0.25">
      <c r="N469" s="74"/>
    </row>
    <row r="470" spans="14:14" x14ac:dyDescent="0.25">
      <c r="N470" s="74"/>
    </row>
    <row r="471" spans="14:14" x14ac:dyDescent="0.25">
      <c r="N471" s="74"/>
    </row>
    <row r="472" spans="14:14" x14ac:dyDescent="0.25">
      <c r="N472" s="74"/>
    </row>
    <row r="473" spans="14:14" x14ac:dyDescent="0.25">
      <c r="N473" s="74"/>
    </row>
    <row r="474" spans="14:14" x14ac:dyDescent="0.25">
      <c r="N474" s="74"/>
    </row>
    <row r="475" spans="14:14" x14ac:dyDescent="0.25">
      <c r="N475" s="74"/>
    </row>
    <row r="476" spans="14:14" x14ac:dyDescent="0.25">
      <c r="N476" s="74"/>
    </row>
    <row r="477" spans="14:14" x14ac:dyDescent="0.25">
      <c r="N477" s="74"/>
    </row>
    <row r="478" spans="14:14" x14ac:dyDescent="0.25">
      <c r="N478" s="74"/>
    </row>
    <row r="479" spans="14:14" x14ac:dyDescent="0.25">
      <c r="N479" s="74"/>
    </row>
    <row r="480" spans="14:14" x14ac:dyDescent="0.25">
      <c r="N480" s="74"/>
    </row>
    <row r="481" spans="14:14" x14ac:dyDescent="0.25">
      <c r="N481" s="74"/>
    </row>
    <row r="482" spans="14:14" x14ac:dyDescent="0.25">
      <c r="N482" s="74"/>
    </row>
    <row r="483" spans="14:14" x14ac:dyDescent="0.25">
      <c r="N483" s="74"/>
    </row>
    <row r="484" spans="14:14" x14ac:dyDescent="0.25">
      <c r="N484" s="74"/>
    </row>
    <row r="485" spans="14:14" x14ac:dyDescent="0.25">
      <c r="N485" s="74"/>
    </row>
    <row r="486" spans="14:14" x14ac:dyDescent="0.25">
      <c r="N486" s="74"/>
    </row>
    <row r="487" spans="14:14" x14ac:dyDescent="0.25">
      <c r="N487" s="74"/>
    </row>
    <row r="488" spans="14:14" x14ac:dyDescent="0.25">
      <c r="N488" s="74"/>
    </row>
    <row r="489" spans="14:14" x14ac:dyDescent="0.25">
      <c r="N489" s="74"/>
    </row>
    <row r="490" spans="14:14" x14ac:dyDescent="0.25">
      <c r="N490" s="74"/>
    </row>
    <row r="491" spans="14:14" x14ac:dyDescent="0.25">
      <c r="N491" s="74"/>
    </row>
    <row r="492" spans="14:14" x14ac:dyDescent="0.25">
      <c r="N492" s="74"/>
    </row>
    <row r="493" spans="14:14" x14ac:dyDescent="0.25">
      <c r="N493" s="74"/>
    </row>
    <row r="494" spans="14:14" x14ac:dyDescent="0.25">
      <c r="N494" s="74"/>
    </row>
    <row r="495" spans="14:14" x14ac:dyDescent="0.25">
      <c r="N495" s="74"/>
    </row>
    <row r="496" spans="14:14" x14ac:dyDescent="0.25">
      <c r="N496" s="74"/>
    </row>
    <row r="497" spans="14:14" x14ac:dyDescent="0.25">
      <c r="N497" s="74"/>
    </row>
    <row r="498" spans="14:14" x14ac:dyDescent="0.25">
      <c r="N498" s="74"/>
    </row>
    <row r="499" spans="14:14" x14ac:dyDescent="0.25">
      <c r="N499" s="74"/>
    </row>
    <row r="500" spans="14:14" x14ac:dyDescent="0.25">
      <c r="N500" s="74"/>
    </row>
    <row r="501" spans="14:14" x14ac:dyDescent="0.25">
      <c r="N501" s="74"/>
    </row>
    <row r="502" spans="14:14" x14ac:dyDescent="0.25">
      <c r="N502" s="74"/>
    </row>
    <row r="503" spans="14:14" x14ac:dyDescent="0.25">
      <c r="N503" s="74"/>
    </row>
    <row r="504" spans="14:14" x14ac:dyDescent="0.25">
      <c r="N504" s="74"/>
    </row>
    <row r="505" spans="14:14" x14ac:dyDescent="0.25">
      <c r="N505" s="74"/>
    </row>
    <row r="506" spans="14:14" x14ac:dyDescent="0.25">
      <c r="N506" s="74"/>
    </row>
    <row r="507" spans="14:14" x14ac:dyDescent="0.25">
      <c r="N507" s="74"/>
    </row>
    <row r="508" spans="14:14" x14ac:dyDescent="0.25">
      <c r="N508" s="74"/>
    </row>
    <row r="509" spans="14:14" x14ac:dyDescent="0.25">
      <c r="N509" s="74"/>
    </row>
    <row r="510" spans="14:14" x14ac:dyDescent="0.25">
      <c r="N510" s="74"/>
    </row>
    <row r="511" spans="14:14" x14ac:dyDescent="0.25">
      <c r="N511" s="74"/>
    </row>
    <row r="512" spans="14:14" x14ac:dyDescent="0.25">
      <c r="N512" s="74"/>
    </row>
    <row r="513" spans="14:14" x14ac:dyDescent="0.25">
      <c r="N513" s="74"/>
    </row>
    <row r="514" spans="14:14" x14ac:dyDescent="0.25">
      <c r="N514" s="74"/>
    </row>
    <row r="515" spans="14:14" x14ac:dyDescent="0.25">
      <c r="N515" s="74"/>
    </row>
    <row r="516" spans="14:14" x14ac:dyDescent="0.25">
      <c r="N516" s="74"/>
    </row>
    <row r="517" spans="14:14" x14ac:dyDescent="0.25">
      <c r="N517" s="74"/>
    </row>
    <row r="518" spans="14:14" x14ac:dyDescent="0.25">
      <c r="N518" s="74"/>
    </row>
    <row r="519" spans="14:14" x14ac:dyDescent="0.25">
      <c r="N519" s="74"/>
    </row>
    <row r="520" spans="14:14" x14ac:dyDescent="0.25">
      <c r="N520" s="74"/>
    </row>
    <row r="521" spans="14:14" x14ac:dyDescent="0.25">
      <c r="N521" s="74"/>
    </row>
    <row r="522" spans="14:14" x14ac:dyDescent="0.25">
      <c r="N522" s="74"/>
    </row>
    <row r="523" spans="14:14" x14ac:dyDescent="0.25">
      <c r="N523" s="74"/>
    </row>
    <row r="524" spans="14:14" x14ac:dyDescent="0.25">
      <c r="N524" s="74"/>
    </row>
    <row r="525" spans="14:14" x14ac:dyDescent="0.25">
      <c r="N525" s="74"/>
    </row>
    <row r="526" spans="14:14" x14ac:dyDescent="0.25">
      <c r="N526" s="74"/>
    </row>
    <row r="527" spans="14:14" x14ac:dyDescent="0.25">
      <c r="N527" s="74"/>
    </row>
    <row r="528" spans="14:14" x14ac:dyDescent="0.25">
      <c r="N528" s="74"/>
    </row>
    <row r="529" spans="14:14" x14ac:dyDescent="0.25">
      <c r="N529" s="74"/>
    </row>
    <row r="530" spans="14:14" x14ac:dyDescent="0.25">
      <c r="N530" s="74"/>
    </row>
    <row r="531" spans="14:14" x14ac:dyDescent="0.25">
      <c r="N531" s="74"/>
    </row>
    <row r="532" spans="14:14" x14ac:dyDescent="0.25">
      <c r="N532" s="74"/>
    </row>
    <row r="533" spans="14:14" x14ac:dyDescent="0.25">
      <c r="N533" s="74"/>
    </row>
    <row r="534" spans="14:14" x14ac:dyDescent="0.25">
      <c r="N534" s="74"/>
    </row>
    <row r="535" spans="14:14" x14ac:dyDescent="0.25">
      <c r="N535" s="74"/>
    </row>
    <row r="536" spans="14:14" x14ac:dyDescent="0.25">
      <c r="N536" s="74"/>
    </row>
    <row r="537" spans="14:14" x14ac:dyDescent="0.25">
      <c r="N537" s="74"/>
    </row>
    <row r="538" spans="14:14" x14ac:dyDescent="0.25">
      <c r="N538" s="74"/>
    </row>
    <row r="539" spans="14:14" x14ac:dyDescent="0.25">
      <c r="N539" s="74"/>
    </row>
    <row r="540" spans="14:14" x14ac:dyDescent="0.25">
      <c r="N540" s="74"/>
    </row>
    <row r="541" spans="14:14" x14ac:dyDescent="0.25">
      <c r="N541" s="74"/>
    </row>
    <row r="542" spans="14:14" x14ac:dyDescent="0.25">
      <c r="N542" s="74"/>
    </row>
    <row r="543" spans="14:14" x14ac:dyDescent="0.25">
      <c r="N543" s="74"/>
    </row>
    <row r="544" spans="14:14" x14ac:dyDescent="0.25">
      <c r="N544" s="74"/>
    </row>
    <row r="545" spans="14:14" x14ac:dyDescent="0.25">
      <c r="N545" s="74"/>
    </row>
    <row r="546" spans="14:14" x14ac:dyDescent="0.25">
      <c r="N546" s="74"/>
    </row>
    <row r="547" spans="14:14" x14ac:dyDescent="0.25">
      <c r="N547" s="74"/>
    </row>
    <row r="548" spans="14:14" x14ac:dyDescent="0.25">
      <c r="N548" s="74"/>
    </row>
    <row r="549" spans="14:14" x14ac:dyDescent="0.25">
      <c r="N549" s="74"/>
    </row>
    <row r="550" spans="14:14" x14ac:dyDescent="0.25">
      <c r="N550" s="74"/>
    </row>
    <row r="551" spans="14:14" x14ac:dyDescent="0.25">
      <c r="N551" s="74"/>
    </row>
    <row r="552" spans="14:14" x14ac:dyDescent="0.25">
      <c r="N552" s="74"/>
    </row>
    <row r="553" spans="14:14" x14ac:dyDescent="0.25">
      <c r="N553" s="74"/>
    </row>
    <row r="554" spans="14:14" x14ac:dyDescent="0.25">
      <c r="N554" s="74"/>
    </row>
    <row r="555" spans="14:14" x14ac:dyDescent="0.25">
      <c r="N555" s="74"/>
    </row>
    <row r="556" spans="14:14" x14ac:dyDescent="0.25">
      <c r="N556" s="74"/>
    </row>
    <row r="557" spans="14:14" x14ac:dyDescent="0.25">
      <c r="N557" s="74"/>
    </row>
    <row r="558" spans="14:14" x14ac:dyDescent="0.25">
      <c r="N558" s="74"/>
    </row>
    <row r="559" spans="14:14" x14ac:dyDescent="0.25">
      <c r="N559" s="74"/>
    </row>
    <row r="560" spans="14:14" x14ac:dyDescent="0.25">
      <c r="N560" s="74"/>
    </row>
    <row r="561" spans="14:14" x14ac:dyDescent="0.25">
      <c r="N561" s="74"/>
    </row>
    <row r="562" spans="14:14" x14ac:dyDescent="0.25">
      <c r="N562" s="74"/>
    </row>
    <row r="563" spans="14:14" x14ac:dyDescent="0.25">
      <c r="N563" s="74"/>
    </row>
    <row r="564" spans="14:14" x14ac:dyDescent="0.25">
      <c r="N564" s="74"/>
    </row>
    <row r="565" spans="14:14" x14ac:dyDescent="0.25">
      <c r="N565" s="74"/>
    </row>
    <row r="566" spans="14:14" x14ac:dyDescent="0.25">
      <c r="N566" s="74"/>
    </row>
    <row r="567" spans="14:14" x14ac:dyDescent="0.25">
      <c r="N567" s="74"/>
    </row>
    <row r="568" spans="14:14" x14ac:dyDescent="0.25">
      <c r="N568" s="74"/>
    </row>
    <row r="569" spans="14:14" x14ac:dyDescent="0.25">
      <c r="N569" s="74"/>
    </row>
    <row r="570" spans="14:14" x14ac:dyDescent="0.25">
      <c r="N570" s="74"/>
    </row>
    <row r="571" spans="14:14" x14ac:dyDescent="0.25">
      <c r="N571" s="74"/>
    </row>
    <row r="572" spans="14:14" x14ac:dyDescent="0.25">
      <c r="N572" s="74"/>
    </row>
    <row r="573" spans="14:14" x14ac:dyDescent="0.25">
      <c r="N573" s="74"/>
    </row>
    <row r="574" spans="14:14" x14ac:dyDescent="0.25">
      <c r="N574" s="74"/>
    </row>
    <row r="575" spans="14:14" x14ac:dyDescent="0.25">
      <c r="N575" s="74"/>
    </row>
    <row r="576" spans="14:14" x14ac:dyDescent="0.25">
      <c r="N576" s="74"/>
    </row>
    <row r="577" spans="14:14" x14ac:dyDescent="0.25">
      <c r="N577" s="74"/>
    </row>
    <row r="578" spans="14:14" x14ac:dyDescent="0.25">
      <c r="N578" s="74"/>
    </row>
    <row r="579" spans="14:14" x14ac:dyDescent="0.25">
      <c r="N579" s="74"/>
    </row>
    <row r="580" spans="14:14" x14ac:dyDescent="0.25">
      <c r="N580" s="74"/>
    </row>
    <row r="581" spans="14:14" x14ac:dyDescent="0.25">
      <c r="N581" s="74"/>
    </row>
    <row r="582" spans="14:14" x14ac:dyDescent="0.25">
      <c r="N582" s="74"/>
    </row>
    <row r="583" spans="14:14" x14ac:dyDescent="0.25">
      <c r="N583" s="74"/>
    </row>
    <row r="584" spans="14:14" x14ac:dyDescent="0.25">
      <c r="N584" s="74"/>
    </row>
    <row r="585" spans="14:14" x14ac:dyDescent="0.25">
      <c r="N585" s="74"/>
    </row>
    <row r="586" spans="14:14" x14ac:dyDescent="0.25">
      <c r="N586" s="74"/>
    </row>
    <row r="587" spans="14:14" x14ac:dyDescent="0.25">
      <c r="N587" s="74"/>
    </row>
    <row r="588" spans="14:14" x14ac:dyDescent="0.25">
      <c r="N588" s="74"/>
    </row>
    <row r="589" spans="14:14" x14ac:dyDescent="0.25">
      <c r="N589" s="74"/>
    </row>
    <row r="590" spans="14:14" x14ac:dyDescent="0.25">
      <c r="N590" s="74"/>
    </row>
    <row r="591" spans="14:14" x14ac:dyDescent="0.25">
      <c r="N591" s="74"/>
    </row>
    <row r="592" spans="14:14" x14ac:dyDescent="0.25">
      <c r="N592" s="74"/>
    </row>
    <row r="593" spans="14:14" x14ac:dyDescent="0.25">
      <c r="N593" s="74"/>
    </row>
    <row r="594" spans="14:14" x14ac:dyDescent="0.25">
      <c r="N594" s="74"/>
    </row>
    <row r="595" spans="14:14" x14ac:dyDescent="0.25">
      <c r="N595" s="74"/>
    </row>
    <row r="596" spans="14:14" x14ac:dyDescent="0.25">
      <c r="N596" s="74"/>
    </row>
    <row r="597" spans="14:14" x14ac:dyDescent="0.25">
      <c r="N597" s="74"/>
    </row>
    <row r="598" spans="14:14" x14ac:dyDescent="0.25">
      <c r="N598" s="74"/>
    </row>
    <row r="599" spans="14:14" x14ac:dyDescent="0.25">
      <c r="N599" s="74"/>
    </row>
    <row r="600" spans="14:14" x14ac:dyDescent="0.25">
      <c r="N600" s="74"/>
    </row>
    <row r="601" spans="14:14" x14ac:dyDescent="0.25">
      <c r="N601" s="74"/>
    </row>
    <row r="602" spans="14:14" x14ac:dyDescent="0.25">
      <c r="N602" s="74"/>
    </row>
    <row r="603" spans="14:14" x14ac:dyDescent="0.25">
      <c r="N603" s="74"/>
    </row>
    <row r="604" spans="14:14" x14ac:dyDescent="0.25">
      <c r="N604" s="74"/>
    </row>
    <row r="605" spans="14:14" x14ac:dyDescent="0.25">
      <c r="N605" s="74"/>
    </row>
    <row r="606" spans="14:14" x14ac:dyDescent="0.25">
      <c r="N606" s="74"/>
    </row>
    <row r="607" spans="14:14" x14ac:dyDescent="0.25">
      <c r="N607" s="74"/>
    </row>
    <row r="608" spans="14:14" x14ac:dyDescent="0.25">
      <c r="N608" s="74"/>
    </row>
    <row r="609" spans="14:14" x14ac:dyDescent="0.25">
      <c r="N609" s="74"/>
    </row>
    <row r="610" spans="14:14" x14ac:dyDescent="0.25">
      <c r="N610" s="74"/>
    </row>
    <row r="611" spans="14:14" x14ac:dyDescent="0.25">
      <c r="N611" s="74"/>
    </row>
    <row r="612" spans="14:14" x14ac:dyDescent="0.25">
      <c r="N612" s="74"/>
    </row>
    <row r="613" spans="14:14" x14ac:dyDescent="0.25">
      <c r="N613" s="74"/>
    </row>
    <row r="614" spans="14:14" x14ac:dyDescent="0.25">
      <c r="N614" s="74"/>
    </row>
    <row r="615" spans="14:14" x14ac:dyDescent="0.25">
      <c r="N615" s="74"/>
    </row>
    <row r="616" spans="14:14" x14ac:dyDescent="0.25">
      <c r="N616" s="74"/>
    </row>
    <row r="617" spans="14:14" x14ac:dyDescent="0.25">
      <c r="N617" s="74"/>
    </row>
    <row r="618" spans="14:14" x14ac:dyDescent="0.25">
      <c r="N618" s="74"/>
    </row>
    <row r="619" spans="14:14" x14ac:dyDescent="0.25">
      <c r="N619" s="74"/>
    </row>
    <row r="620" spans="14:14" x14ac:dyDescent="0.25">
      <c r="N620" s="74"/>
    </row>
    <row r="621" spans="14:14" x14ac:dyDescent="0.25">
      <c r="N621" s="74"/>
    </row>
    <row r="622" spans="14:14" x14ac:dyDescent="0.25">
      <c r="N622" s="74"/>
    </row>
    <row r="623" spans="14:14" x14ac:dyDescent="0.25">
      <c r="N623" s="74"/>
    </row>
    <row r="624" spans="14:14" x14ac:dyDescent="0.25">
      <c r="N624" s="74"/>
    </row>
    <row r="625" spans="14:14" x14ac:dyDescent="0.25">
      <c r="N625" s="74"/>
    </row>
    <row r="626" spans="14:14" x14ac:dyDescent="0.25">
      <c r="N626" s="74"/>
    </row>
    <row r="627" spans="14:14" x14ac:dyDescent="0.25">
      <c r="N627" s="74"/>
    </row>
    <row r="628" spans="14:14" x14ac:dyDescent="0.25">
      <c r="N628" s="74"/>
    </row>
    <row r="629" spans="14:14" x14ac:dyDescent="0.25">
      <c r="N629" s="74"/>
    </row>
    <row r="630" spans="14:14" x14ac:dyDescent="0.25">
      <c r="N630" s="74"/>
    </row>
    <row r="631" spans="14:14" x14ac:dyDescent="0.25">
      <c r="N631" s="74"/>
    </row>
    <row r="632" spans="14:14" x14ac:dyDescent="0.25">
      <c r="N632" s="74"/>
    </row>
    <row r="633" spans="14:14" x14ac:dyDescent="0.25">
      <c r="N633" s="74"/>
    </row>
    <row r="634" spans="14:14" x14ac:dyDescent="0.25">
      <c r="N634" s="74"/>
    </row>
    <row r="635" spans="14:14" x14ac:dyDescent="0.25">
      <c r="N635" s="74"/>
    </row>
    <row r="636" spans="14:14" x14ac:dyDescent="0.25">
      <c r="N636" s="74"/>
    </row>
    <row r="637" spans="14:14" x14ac:dyDescent="0.25">
      <c r="N637" s="74"/>
    </row>
    <row r="638" spans="14:14" x14ac:dyDescent="0.25">
      <c r="N638" s="74"/>
    </row>
    <row r="639" spans="14:14" x14ac:dyDescent="0.25">
      <c r="N639" s="74"/>
    </row>
    <row r="640" spans="14:14" x14ac:dyDescent="0.25">
      <c r="N640" s="74"/>
    </row>
    <row r="641" spans="14:14" x14ac:dyDescent="0.25">
      <c r="N641" s="74"/>
    </row>
    <row r="642" spans="14:14" x14ac:dyDescent="0.25">
      <c r="N642" s="74"/>
    </row>
    <row r="643" spans="14:14" x14ac:dyDescent="0.25">
      <c r="N643" s="74"/>
    </row>
    <row r="644" spans="14:14" x14ac:dyDescent="0.25">
      <c r="N644" s="74"/>
    </row>
    <row r="645" spans="14:14" x14ac:dyDescent="0.25">
      <c r="N645" s="74"/>
    </row>
    <row r="646" spans="14:14" x14ac:dyDescent="0.25">
      <c r="N646" s="74"/>
    </row>
    <row r="647" spans="14:14" x14ac:dyDescent="0.25">
      <c r="N647" s="74"/>
    </row>
    <row r="648" spans="14:14" x14ac:dyDescent="0.25">
      <c r="N648" s="74"/>
    </row>
    <row r="649" spans="14:14" x14ac:dyDescent="0.25">
      <c r="N649" s="74"/>
    </row>
    <row r="650" spans="14:14" x14ac:dyDescent="0.25">
      <c r="N650" s="74"/>
    </row>
    <row r="651" spans="14:14" x14ac:dyDescent="0.25">
      <c r="N651" s="74"/>
    </row>
    <row r="652" spans="14:14" x14ac:dyDescent="0.25">
      <c r="N652" s="74"/>
    </row>
    <row r="653" spans="14:14" x14ac:dyDescent="0.25">
      <c r="N653" s="74"/>
    </row>
    <row r="654" spans="14:14" x14ac:dyDescent="0.25">
      <c r="N654" s="74"/>
    </row>
    <row r="655" spans="14:14" x14ac:dyDescent="0.25">
      <c r="N655" s="74"/>
    </row>
    <row r="656" spans="14:14" x14ac:dyDescent="0.25">
      <c r="N656" s="74"/>
    </row>
    <row r="657" spans="14:14" x14ac:dyDescent="0.25">
      <c r="N657" s="74"/>
    </row>
    <row r="658" spans="14:14" x14ac:dyDescent="0.25">
      <c r="N658" s="74"/>
    </row>
    <row r="659" spans="14:14" x14ac:dyDescent="0.25">
      <c r="N659" s="74"/>
    </row>
    <row r="660" spans="14:14" x14ac:dyDescent="0.25">
      <c r="N660" s="74"/>
    </row>
    <row r="661" spans="14:14" x14ac:dyDescent="0.25">
      <c r="N661" s="74"/>
    </row>
    <row r="662" spans="14:14" x14ac:dyDescent="0.25">
      <c r="N662" s="74"/>
    </row>
    <row r="663" spans="14:14" x14ac:dyDescent="0.25">
      <c r="N663" s="74"/>
    </row>
    <row r="664" spans="14:14" x14ac:dyDescent="0.25">
      <c r="N664" s="74"/>
    </row>
    <row r="665" spans="14:14" x14ac:dyDescent="0.25">
      <c r="N665" s="74"/>
    </row>
    <row r="666" spans="14:14" x14ac:dyDescent="0.25">
      <c r="N666" s="74"/>
    </row>
    <row r="667" spans="14:14" x14ac:dyDescent="0.25">
      <c r="N667" s="74"/>
    </row>
    <row r="668" spans="14:14" x14ac:dyDescent="0.25">
      <c r="N668" s="74"/>
    </row>
    <row r="669" spans="14:14" x14ac:dyDescent="0.25">
      <c r="N669" s="74"/>
    </row>
    <row r="670" spans="14:14" x14ac:dyDescent="0.25">
      <c r="N670" s="74"/>
    </row>
    <row r="671" spans="14:14" x14ac:dyDescent="0.25">
      <c r="N671" s="74"/>
    </row>
    <row r="672" spans="14:14" x14ac:dyDescent="0.25">
      <c r="N672" s="74"/>
    </row>
    <row r="673" spans="14:14" x14ac:dyDescent="0.25">
      <c r="N673" s="74"/>
    </row>
    <row r="674" spans="14:14" x14ac:dyDescent="0.25">
      <c r="N674" s="74"/>
    </row>
    <row r="675" spans="14:14" x14ac:dyDescent="0.25">
      <c r="N675" s="74"/>
    </row>
    <row r="676" spans="14:14" x14ac:dyDescent="0.25">
      <c r="N676" s="74"/>
    </row>
    <row r="677" spans="14:14" x14ac:dyDescent="0.25">
      <c r="N677" s="74"/>
    </row>
    <row r="678" spans="14:14" x14ac:dyDescent="0.25">
      <c r="N678" s="74"/>
    </row>
    <row r="679" spans="14:14" x14ac:dyDescent="0.25">
      <c r="N679" s="74"/>
    </row>
    <row r="680" spans="14:14" x14ac:dyDescent="0.25">
      <c r="N680" s="74"/>
    </row>
    <row r="681" spans="14:14" x14ac:dyDescent="0.25">
      <c r="N681" s="74"/>
    </row>
    <row r="682" spans="14:14" x14ac:dyDescent="0.25">
      <c r="N682" s="74"/>
    </row>
    <row r="683" spans="14:14" x14ac:dyDescent="0.25">
      <c r="N683" s="74"/>
    </row>
    <row r="684" spans="14:14" x14ac:dyDescent="0.25">
      <c r="N684" s="74"/>
    </row>
    <row r="685" spans="14:14" x14ac:dyDescent="0.25">
      <c r="N685" s="74"/>
    </row>
    <row r="686" spans="14:14" x14ac:dyDescent="0.25">
      <c r="N686" s="74"/>
    </row>
    <row r="687" spans="14:14" x14ac:dyDescent="0.25">
      <c r="N687" s="74"/>
    </row>
    <row r="688" spans="14:14" x14ac:dyDescent="0.25">
      <c r="N688" s="74"/>
    </row>
    <row r="689" spans="14:14" x14ac:dyDescent="0.25">
      <c r="N689" s="74"/>
    </row>
    <row r="690" spans="14:14" x14ac:dyDescent="0.25">
      <c r="N690" s="74"/>
    </row>
    <row r="691" spans="14:14" x14ac:dyDescent="0.25">
      <c r="N691" s="74"/>
    </row>
    <row r="692" spans="14:14" x14ac:dyDescent="0.25">
      <c r="N692" s="74"/>
    </row>
    <row r="693" spans="14:14" x14ac:dyDescent="0.25">
      <c r="N693" s="74"/>
    </row>
    <row r="694" spans="14:14" x14ac:dyDescent="0.25">
      <c r="N694" s="74"/>
    </row>
    <row r="695" spans="14:14" x14ac:dyDescent="0.25">
      <c r="N695" s="74"/>
    </row>
    <row r="696" spans="14:14" x14ac:dyDescent="0.25">
      <c r="N696" s="74"/>
    </row>
    <row r="697" spans="14:14" x14ac:dyDescent="0.25">
      <c r="N697" s="74"/>
    </row>
    <row r="698" spans="14:14" x14ac:dyDescent="0.25">
      <c r="N698" s="74"/>
    </row>
    <row r="699" spans="14:14" x14ac:dyDescent="0.25">
      <c r="N699" s="74"/>
    </row>
    <row r="700" spans="14:14" x14ac:dyDescent="0.25">
      <c r="N700" s="74"/>
    </row>
    <row r="701" spans="14:14" x14ac:dyDescent="0.25">
      <c r="N701" s="74"/>
    </row>
    <row r="702" spans="14:14" x14ac:dyDescent="0.25">
      <c r="N702" s="74"/>
    </row>
    <row r="703" spans="14:14" x14ac:dyDescent="0.25">
      <c r="N703" s="74"/>
    </row>
    <row r="704" spans="14:14" x14ac:dyDescent="0.25">
      <c r="N704" s="74"/>
    </row>
    <row r="705" spans="14:14" x14ac:dyDescent="0.25">
      <c r="N705" s="74"/>
    </row>
    <row r="706" spans="14:14" x14ac:dyDescent="0.25">
      <c r="N706" s="74"/>
    </row>
    <row r="707" spans="14:14" x14ac:dyDescent="0.25">
      <c r="N707" s="74"/>
    </row>
    <row r="708" spans="14:14" x14ac:dyDescent="0.25">
      <c r="N708" s="74"/>
    </row>
    <row r="709" spans="14:14" x14ac:dyDescent="0.25">
      <c r="N709" s="74"/>
    </row>
    <row r="710" spans="14:14" x14ac:dyDescent="0.25">
      <c r="N710" s="74"/>
    </row>
    <row r="711" spans="14:14" x14ac:dyDescent="0.25">
      <c r="N711" s="74"/>
    </row>
    <row r="712" spans="14:14" x14ac:dyDescent="0.25">
      <c r="N712" s="74"/>
    </row>
    <row r="713" spans="14:14" x14ac:dyDescent="0.25">
      <c r="N713" s="74"/>
    </row>
    <row r="714" spans="14:14" x14ac:dyDescent="0.25">
      <c r="N714" s="74"/>
    </row>
    <row r="715" spans="14:14" x14ac:dyDescent="0.25">
      <c r="N715" s="74"/>
    </row>
    <row r="716" spans="14:14" x14ac:dyDescent="0.25">
      <c r="N716" s="74"/>
    </row>
    <row r="717" spans="14:14" x14ac:dyDescent="0.25">
      <c r="N717" s="74"/>
    </row>
    <row r="718" spans="14:14" x14ac:dyDescent="0.25">
      <c r="N718" s="74"/>
    </row>
    <row r="719" spans="14:14" x14ac:dyDescent="0.25">
      <c r="N719" s="74"/>
    </row>
    <row r="720" spans="14:14" x14ac:dyDescent="0.25">
      <c r="N720" s="74"/>
    </row>
    <row r="721" spans="14:14" x14ac:dyDescent="0.25">
      <c r="N721" s="74"/>
    </row>
    <row r="722" spans="14:14" x14ac:dyDescent="0.25">
      <c r="N722" s="74"/>
    </row>
    <row r="723" spans="14:14" x14ac:dyDescent="0.25">
      <c r="N723" s="74"/>
    </row>
    <row r="724" spans="14:14" x14ac:dyDescent="0.25">
      <c r="N724" s="74"/>
    </row>
    <row r="725" spans="14:14" x14ac:dyDescent="0.25">
      <c r="N725" s="74"/>
    </row>
    <row r="726" spans="14:14" x14ac:dyDescent="0.25">
      <c r="N726" s="74"/>
    </row>
    <row r="727" spans="14:14" x14ac:dyDescent="0.25">
      <c r="N727" s="74"/>
    </row>
    <row r="728" spans="14:14" x14ac:dyDescent="0.25">
      <c r="N728" s="74"/>
    </row>
    <row r="729" spans="14:14" x14ac:dyDescent="0.25">
      <c r="N729" s="74"/>
    </row>
    <row r="730" spans="14:14" x14ac:dyDescent="0.25">
      <c r="N730" s="74"/>
    </row>
    <row r="731" spans="14:14" x14ac:dyDescent="0.25">
      <c r="N731" s="74"/>
    </row>
    <row r="732" spans="14:14" x14ac:dyDescent="0.25">
      <c r="N732" s="74"/>
    </row>
    <row r="733" spans="14:14" x14ac:dyDescent="0.25">
      <c r="N733" s="74"/>
    </row>
    <row r="734" spans="14:14" x14ac:dyDescent="0.25">
      <c r="N734" s="74"/>
    </row>
    <row r="735" spans="14:14" x14ac:dyDescent="0.25">
      <c r="N735" s="74"/>
    </row>
    <row r="736" spans="14:14" x14ac:dyDescent="0.25">
      <c r="N736" s="74"/>
    </row>
    <row r="737" spans="14:14" x14ac:dyDescent="0.25">
      <c r="N737" s="74"/>
    </row>
    <row r="738" spans="14:14" x14ac:dyDescent="0.25">
      <c r="N738" s="74"/>
    </row>
    <row r="739" spans="14:14" x14ac:dyDescent="0.25">
      <c r="N739" s="74"/>
    </row>
    <row r="740" spans="14:14" x14ac:dyDescent="0.25">
      <c r="N740" s="74"/>
    </row>
    <row r="741" spans="14:14" x14ac:dyDescent="0.25">
      <c r="N741" s="74"/>
    </row>
    <row r="742" spans="14:14" x14ac:dyDescent="0.25">
      <c r="N742" s="74"/>
    </row>
    <row r="743" spans="14:14" x14ac:dyDescent="0.25">
      <c r="N743" s="74"/>
    </row>
    <row r="744" spans="14:14" x14ac:dyDescent="0.25">
      <c r="N744" s="74"/>
    </row>
    <row r="745" spans="14:14" x14ac:dyDescent="0.25">
      <c r="N745" s="74"/>
    </row>
    <row r="746" spans="14:14" x14ac:dyDescent="0.25">
      <c r="N746" s="74"/>
    </row>
    <row r="747" spans="14:14" x14ac:dyDescent="0.25">
      <c r="N747" s="74"/>
    </row>
    <row r="748" spans="14:14" x14ac:dyDescent="0.25">
      <c r="N748" s="74"/>
    </row>
    <row r="749" spans="14:14" x14ac:dyDescent="0.25">
      <c r="N749" s="74"/>
    </row>
    <row r="750" spans="14:14" x14ac:dyDescent="0.25">
      <c r="N750" s="74"/>
    </row>
    <row r="751" spans="14:14" x14ac:dyDescent="0.25">
      <c r="N751" s="74"/>
    </row>
    <row r="752" spans="14:14" x14ac:dyDescent="0.25">
      <c r="N752" s="74"/>
    </row>
    <row r="753" spans="14:14" x14ac:dyDescent="0.25">
      <c r="N753" s="74"/>
    </row>
    <row r="754" spans="14:14" x14ac:dyDescent="0.25">
      <c r="N754" s="74"/>
    </row>
    <row r="755" spans="14:14" x14ac:dyDescent="0.25">
      <c r="N755" s="74"/>
    </row>
    <row r="756" spans="14:14" x14ac:dyDescent="0.25">
      <c r="N756" s="74"/>
    </row>
    <row r="757" spans="14:14" x14ac:dyDescent="0.25">
      <c r="N757" s="74"/>
    </row>
    <row r="758" spans="14:14" x14ac:dyDescent="0.25">
      <c r="N758" s="74"/>
    </row>
    <row r="759" spans="14:14" x14ac:dyDescent="0.25">
      <c r="N759" s="74"/>
    </row>
    <row r="760" spans="14:14" x14ac:dyDescent="0.25">
      <c r="N760" s="74"/>
    </row>
    <row r="761" spans="14:14" x14ac:dyDescent="0.25">
      <c r="N761" s="74"/>
    </row>
    <row r="762" spans="14:14" x14ac:dyDescent="0.25">
      <c r="N762" s="74"/>
    </row>
    <row r="763" spans="14:14" x14ac:dyDescent="0.25">
      <c r="N763" s="74"/>
    </row>
    <row r="764" spans="14:14" x14ac:dyDescent="0.25">
      <c r="N764" s="74"/>
    </row>
    <row r="765" spans="14:14" x14ac:dyDescent="0.25">
      <c r="N765" s="74"/>
    </row>
    <row r="766" spans="14:14" x14ac:dyDescent="0.25">
      <c r="N766" s="74"/>
    </row>
    <row r="767" spans="14:14" x14ac:dyDescent="0.25">
      <c r="N767" s="74"/>
    </row>
    <row r="768" spans="14:14" x14ac:dyDescent="0.25">
      <c r="N768" s="74"/>
    </row>
    <row r="769" spans="14:14" x14ac:dyDescent="0.25">
      <c r="N769" s="74"/>
    </row>
    <row r="770" spans="14:14" x14ac:dyDescent="0.25">
      <c r="N770" s="74"/>
    </row>
    <row r="771" spans="14:14" x14ac:dyDescent="0.25">
      <c r="N771" s="74"/>
    </row>
    <row r="772" spans="14:14" x14ac:dyDescent="0.25">
      <c r="N772" s="74"/>
    </row>
    <row r="773" spans="14:14" x14ac:dyDescent="0.25">
      <c r="N773" s="74"/>
    </row>
    <row r="774" spans="14:14" x14ac:dyDescent="0.25">
      <c r="N774" s="74"/>
    </row>
    <row r="775" spans="14:14" x14ac:dyDescent="0.25">
      <c r="N775" s="74"/>
    </row>
    <row r="776" spans="14:14" x14ac:dyDescent="0.25">
      <c r="N776" s="74"/>
    </row>
    <row r="777" spans="14:14" x14ac:dyDescent="0.25">
      <c r="N777" s="74"/>
    </row>
    <row r="778" spans="14:14" x14ac:dyDescent="0.25">
      <c r="N778" s="74"/>
    </row>
    <row r="779" spans="14:14" x14ac:dyDescent="0.25">
      <c r="N779" s="74"/>
    </row>
    <row r="780" spans="14:14" x14ac:dyDescent="0.25">
      <c r="N780" s="74"/>
    </row>
    <row r="781" spans="14:14" x14ac:dyDescent="0.25">
      <c r="N781" s="74"/>
    </row>
    <row r="782" spans="14:14" x14ac:dyDescent="0.25">
      <c r="N782" s="74"/>
    </row>
    <row r="783" spans="14:14" x14ac:dyDescent="0.25">
      <c r="N783" s="74"/>
    </row>
    <row r="784" spans="14:14" x14ac:dyDescent="0.25">
      <c r="N784" s="74"/>
    </row>
    <row r="785" spans="14:14" x14ac:dyDescent="0.25">
      <c r="N785" s="74"/>
    </row>
    <row r="786" spans="14:14" x14ac:dyDescent="0.25">
      <c r="N786" s="74"/>
    </row>
    <row r="787" spans="14:14" x14ac:dyDescent="0.25">
      <c r="N787" s="74"/>
    </row>
    <row r="788" spans="14:14" x14ac:dyDescent="0.25">
      <c r="N788" s="74"/>
    </row>
    <row r="789" spans="14:14" x14ac:dyDescent="0.25">
      <c r="N789" s="74"/>
    </row>
    <row r="790" spans="14:14" x14ac:dyDescent="0.25">
      <c r="N790" s="74"/>
    </row>
    <row r="791" spans="14:14" x14ac:dyDescent="0.25">
      <c r="N791" s="74"/>
    </row>
    <row r="792" spans="14:14" x14ac:dyDescent="0.25">
      <c r="N792" s="74"/>
    </row>
    <row r="793" spans="14:14" x14ac:dyDescent="0.25">
      <c r="N793" s="74"/>
    </row>
    <row r="794" spans="14:14" x14ac:dyDescent="0.25">
      <c r="N794" s="74"/>
    </row>
    <row r="795" spans="14:14" x14ac:dyDescent="0.25">
      <c r="N795" s="74"/>
    </row>
    <row r="796" spans="14:14" x14ac:dyDescent="0.25">
      <c r="N796" s="74"/>
    </row>
    <row r="797" spans="14:14" x14ac:dyDescent="0.25">
      <c r="N797" s="74"/>
    </row>
    <row r="798" spans="14:14" x14ac:dyDescent="0.25">
      <c r="N798" s="74"/>
    </row>
    <row r="799" spans="14:14" x14ac:dyDescent="0.25">
      <c r="N799" s="74"/>
    </row>
    <row r="800" spans="14:14" x14ac:dyDescent="0.25">
      <c r="N800" s="74"/>
    </row>
    <row r="801" spans="14:14" x14ac:dyDescent="0.25">
      <c r="N801" s="74"/>
    </row>
    <row r="802" spans="14:14" x14ac:dyDescent="0.25">
      <c r="N802" s="74"/>
    </row>
    <row r="803" spans="14:14" x14ac:dyDescent="0.25">
      <c r="N803" s="74"/>
    </row>
    <row r="804" spans="14:14" x14ac:dyDescent="0.25">
      <c r="N804" s="74"/>
    </row>
    <row r="805" spans="14:14" x14ac:dyDescent="0.25">
      <c r="N805" s="74"/>
    </row>
    <row r="806" spans="14:14" x14ac:dyDescent="0.25">
      <c r="N806" s="74"/>
    </row>
    <row r="807" spans="14:14" x14ac:dyDescent="0.25">
      <c r="N807" s="74"/>
    </row>
    <row r="808" spans="14:14" x14ac:dyDescent="0.25">
      <c r="N808" s="74"/>
    </row>
    <row r="809" spans="14:14" x14ac:dyDescent="0.25">
      <c r="N809" s="74"/>
    </row>
    <row r="810" spans="14:14" x14ac:dyDescent="0.25">
      <c r="N810" s="74"/>
    </row>
    <row r="811" spans="14:14" x14ac:dyDescent="0.25">
      <c r="N811" s="74"/>
    </row>
    <row r="812" spans="14:14" x14ac:dyDescent="0.25">
      <c r="N812" s="74"/>
    </row>
    <row r="813" spans="14:14" x14ac:dyDescent="0.25">
      <c r="N813" s="74"/>
    </row>
    <row r="814" spans="14:14" x14ac:dyDescent="0.25">
      <c r="N814" s="74"/>
    </row>
    <row r="815" spans="14:14" x14ac:dyDescent="0.25">
      <c r="N815" s="74"/>
    </row>
    <row r="816" spans="14:14" x14ac:dyDescent="0.25">
      <c r="N816" s="74"/>
    </row>
    <row r="817" spans="14:14" x14ac:dyDescent="0.25">
      <c r="N817" s="74"/>
    </row>
    <row r="818" spans="14:14" x14ac:dyDescent="0.25">
      <c r="N818" s="74"/>
    </row>
    <row r="819" spans="14:14" x14ac:dyDescent="0.25">
      <c r="N819" s="74"/>
    </row>
    <row r="820" spans="14:14" x14ac:dyDescent="0.25">
      <c r="N820" s="74"/>
    </row>
    <row r="821" spans="14:14" x14ac:dyDescent="0.25">
      <c r="N821" s="74"/>
    </row>
    <row r="822" spans="14:14" x14ac:dyDescent="0.25">
      <c r="N822" s="74"/>
    </row>
    <row r="823" spans="14:14" x14ac:dyDescent="0.25">
      <c r="N823" s="74"/>
    </row>
    <row r="824" spans="14:14" x14ac:dyDescent="0.25">
      <c r="N824" s="74"/>
    </row>
    <row r="825" spans="14:14" x14ac:dyDescent="0.25">
      <c r="N825" s="74"/>
    </row>
    <row r="826" spans="14:14" x14ac:dyDescent="0.25">
      <c r="N826" s="74"/>
    </row>
    <row r="827" spans="14:14" x14ac:dyDescent="0.25">
      <c r="N827" s="74"/>
    </row>
    <row r="828" spans="14:14" x14ac:dyDescent="0.25">
      <c r="N828" s="74"/>
    </row>
    <row r="829" spans="14:14" x14ac:dyDescent="0.25">
      <c r="N829" s="74"/>
    </row>
    <row r="830" spans="14:14" x14ac:dyDescent="0.25">
      <c r="N830" s="74"/>
    </row>
    <row r="831" spans="14:14" x14ac:dyDescent="0.25">
      <c r="N831" s="74"/>
    </row>
    <row r="832" spans="14:14" x14ac:dyDescent="0.25">
      <c r="N832" s="74"/>
    </row>
    <row r="833" spans="14:14" x14ac:dyDescent="0.25">
      <c r="N833" s="74"/>
    </row>
    <row r="834" spans="14:14" x14ac:dyDescent="0.25">
      <c r="N834" s="74"/>
    </row>
    <row r="835" spans="14:14" x14ac:dyDescent="0.25">
      <c r="N835" s="74"/>
    </row>
    <row r="836" spans="14:14" x14ac:dyDescent="0.25">
      <c r="N836" s="74"/>
    </row>
    <row r="837" spans="14:14" x14ac:dyDescent="0.25">
      <c r="N837" s="74"/>
    </row>
    <row r="838" spans="14:14" x14ac:dyDescent="0.25">
      <c r="N838" s="74"/>
    </row>
    <row r="839" spans="14:14" x14ac:dyDescent="0.25">
      <c r="N839" s="74"/>
    </row>
    <row r="840" spans="14:14" x14ac:dyDescent="0.25">
      <c r="N840" s="74"/>
    </row>
    <row r="841" spans="14:14" x14ac:dyDescent="0.25">
      <c r="N841" s="74"/>
    </row>
    <row r="842" spans="14:14" x14ac:dyDescent="0.25">
      <c r="N842" s="74"/>
    </row>
    <row r="843" spans="14:14" x14ac:dyDescent="0.25">
      <c r="N843" s="74"/>
    </row>
    <row r="844" spans="14:14" x14ac:dyDescent="0.25">
      <c r="N844" s="74"/>
    </row>
    <row r="845" spans="14:14" x14ac:dyDescent="0.25">
      <c r="N845" s="74"/>
    </row>
    <row r="846" spans="14:14" x14ac:dyDescent="0.25">
      <c r="N846" s="74"/>
    </row>
    <row r="847" spans="14:14" x14ac:dyDescent="0.25">
      <c r="N847" s="74"/>
    </row>
    <row r="848" spans="14:14" x14ac:dyDescent="0.25">
      <c r="N848" s="74"/>
    </row>
    <row r="849" spans="14:14" x14ac:dyDescent="0.25">
      <c r="N849" s="74"/>
    </row>
    <row r="850" spans="14:14" x14ac:dyDescent="0.25">
      <c r="N850" s="74"/>
    </row>
    <row r="851" spans="14:14" x14ac:dyDescent="0.25">
      <c r="N851" s="74"/>
    </row>
    <row r="852" spans="14:14" x14ac:dyDescent="0.25">
      <c r="N852" s="74"/>
    </row>
    <row r="853" spans="14:14" x14ac:dyDescent="0.25">
      <c r="N853" s="74"/>
    </row>
    <row r="854" spans="14:14" x14ac:dyDescent="0.25">
      <c r="N854" s="74"/>
    </row>
    <row r="855" spans="14:14" x14ac:dyDescent="0.25">
      <c r="N855" s="74"/>
    </row>
    <row r="856" spans="14:14" x14ac:dyDescent="0.25">
      <c r="N856" s="74"/>
    </row>
    <row r="857" spans="14:14" x14ac:dyDescent="0.25">
      <c r="N857" s="74"/>
    </row>
    <row r="858" spans="14:14" x14ac:dyDescent="0.25">
      <c r="N858" s="74"/>
    </row>
    <row r="859" spans="14:14" x14ac:dyDescent="0.25">
      <c r="N859" s="74"/>
    </row>
    <row r="860" spans="14:14" x14ac:dyDescent="0.25">
      <c r="N860" s="74"/>
    </row>
    <row r="861" spans="14:14" x14ac:dyDescent="0.25">
      <c r="N861" s="74"/>
    </row>
    <row r="862" spans="14:14" x14ac:dyDescent="0.25">
      <c r="N862" s="74"/>
    </row>
    <row r="863" spans="14:14" x14ac:dyDescent="0.25">
      <c r="N863" s="74"/>
    </row>
    <row r="864" spans="14:14" x14ac:dyDescent="0.25">
      <c r="N864" s="74"/>
    </row>
    <row r="865" spans="14:14" x14ac:dyDescent="0.25">
      <c r="N865" s="74"/>
    </row>
    <row r="866" spans="14:14" x14ac:dyDescent="0.25">
      <c r="N866" s="74"/>
    </row>
    <row r="867" spans="14:14" x14ac:dyDescent="0.25">
      <c r="N867" s="74"/>
    </row>
    <row r="868" spans="14:14" x14ac:dyDescent="0.25">
      <c r="N868" s="74"/>
    </row>
    <row r="869" spans="14:14" x14ac:dyDescent="0.25">
      <c r="N869" s="74"/>
    </row>
    <row r="870" spans="14:14" x14ac:dyDescent="0.25">
      <c r="N870" s="74"/>
    </row>
    <row r="871" spans="14:14" x14ac:dyDescent="0.25">
      <c r="N871" s="74"/>
    </row>
    <row r="872" spans="14:14" x14ac:dyDescent="0.25">
      <c r="N872" s="74"/>
    </row>
    <row r="873" spans="14:14" x14ac:dyDescent="0.25">
      <c r="N873" s="74"/>
    </row>
    <row r="874" spans="14:14" x14ac:dyDescent="0.25">
      <c r="N874" s="74"/>
    </row>
    <row r="875" spans="14:14" x14ac:dyDescent="0.25">
      <c r="N875" s="74"/>
    </row>
    <row r="876" spans="14:14" x14ac:dyDescent="0.25">
      <c r="N876" s="74"/>
    </row>
    <row r="877" spans="14:14" x14ac:dyDescent="0.25">
      <c r="N877" s="74"/>
    </row>
    <row r="878" spans="14:14" x14ac:dyDescent="0.25">
      <c r="N878" s="74"/>
    </row>
    <row r="879" spans="14:14" x14ac:dyDescent="0.25">
      <c r="N879" s="74"/>
    </row>
    <row r="880" spans="14:14" x14ac:dyDescent="0.25">
      <c r="N880" s="74"/>
    </row>
    <row r="881" spans="14:14" x14ac:dyDescent="0.25">
      <c r="N881" s="74"/>
    </row>
    <row r="882" spans="14:14" x14ac:dyDescent="0.25">
      <c r="N882" s="74"/>
    </row>
    <row r="883" spans="14:14" x14ac:dyDescent="0.25">
      <c r="N883" s="74"/>
    </row>
    <row r="884" spans="14:14" x14ac:dyDescent="0.25">
      <c r="N884" s="74"/>
    </row>
    <row r="885" spans="14:14" x14ac:dyDescent="0.25">
      <c r="N885" s="74"/>
    </row>
    <row r="886" spans="14:14" x14ac:dyDescent="0.25">
      <c r="N886" s="74"/>
    </row>
    <row r="887" spans="14:14" x14ac:dyDescent="0.25">
      <c r="N887" s="74"/>
    </row>
    <row r="888" spans="14:14" x14ac:dyDescent="0.25">
      <c r="N888" s="74"/>
    </row>
    <row r="889" spans="14:14" x14ac:dyDescent="0.25">
      <c r="N889" s="74"/>
    </row>
    <row r="890" spans="14:14" x14ac:dyDescent="0.25">
      <c r="N890" s="74"/>
    </row>
    <row r="891" spans="14:14" x14ac:dyDescent="0.25">
      <c r="N891" s="74"/>
    </row>
    <row r="892" spans="14:14" x14ac:dyDescent="0.25">
      <c r="N892" s="74"/>
    </row>
    <row r="893" spans="14:14" x14ac:dyDescent="0.25">
      <c r="N893" s="74"/>
    </row>
    <row r="894" spans="14:14" x14ac:dyDescent="0.25">
      <c r="N894" s="74"/>
    </row>
    <row r="895" spans="14:14" x14ac:dyDescent="0.25">
      <c r="N895" s="74"/>
    </row>
    <row r="896" spans="14:14" x14ac:dyDescent="0.25">
      <c r="N896" s="74"/>
    </row>
    <row r="897" spans="14:14" x14ac:dyDescent="0.25">
      <c r="N897" s="74"/>
    </row>
    <row r="898" spans="14:14" x14ac:dyDescent="0.25">
      <c r="N898" s="74"/>
    </row>
    <row r="899" spans="14:14" x14ac:dyDescent="0.25">
      <c r="N899" s="74"/>
    </row>
    <row r="900" spans="14:14" x14ac:dyDescent="0.25">
      <c r="N900" s="74"/>
    </row>
    <row r="901" spans="14:14" x14ac:dyDescent="0.25">
      <c r="N901" s="74"/>
    </row>
    <row r="902" spans="14:14" x14ac:dyDescent="0.25">
      <c r="N902" s="74"/>
    </row>
    <row r="903" spans="14:14" x14ac:dyDescent="0.25">
      <c r="N903" s="74"/>
    </row>
    <row r="904" spans="14:14" x14ac:dyDescent="0.25">
      <c r="N904" s="74"/>
    </row>
    <row r="905" spans="14:14" x14ac:dyDescent="0.25">
      <c r="N905" s="74"/>
    </row>
    <row r="906" spans="14:14" x14ac:dyDescent="0.25">
      <c r="N906" s="74"/>
    </row>
    <row r="907" spans="14:14" x14ac:dyDescent="0.25">
      <c r="N907" s="74"/>
    </row>
    <row r="908" spans="14:14" x14ac:dyDescent="0.25">
      <c r="N908" s="74"/>
    </row>
    <row r="909" spans="14:14" x14ac:dyDescent="0.25">
      <c r="N909" s="74"/>
    </row>
    <row r="910" spans="14:14" x14ac:dyDescent="0.25">
      <c r="N910" s="74"/>
    </row>
    <row r="911" spans="14:14" x14ac:dyDescent="0.25">
      <c r="N911" s="74"/>
    </row>
    <row r="912" spans="14:14" x14ac:dyDescent="0.25">
      <c r="N912" s="74"/>
    </row>
    <row r="913" spans="14:14" x14ac:dyDescent="0.25">
      <c r="N913" s="74"/>
    </row>
    <row r="914" spans="14:14" x14ac:dyDescent="0.25">
      <c r="N914" s="74"/>
    </row>
    <row r="915" spans="14:14" x14ac:dyDescent="0.25">
      <c r="N915" s="74"/>
    </row>
    <row r="916" spans="14:14" x14ac:dyDescent="0.25">
      <c r="N916" s="74"/>
    </row>
    <row r="917" spans="14:14" x14ac:dyDescent="0.25">
      <c r="N917" s="74"/>
    </row>
    <row r="918" spans="14:14" x14ac:dyDescent="0.25">
      <c r="N918" s="74"/>
    </row>
    <row r="919" spans="14:14" x14ac:dyDescent="0.25">
      <c r="N919" s="74"/>
    </row>
    <row r="920" spans="14:14" x14ac:dyDescent="0.25">
      <c r="N920" s="74"/>
    </row>
    <row r="921" spans="14:14" x14ac:dyDescent="0.25">
      <c r="N921" s="74"/>
    </row>
    <row r="922" spans="14:14" x14ac:dyDescent="0.25">
      <c r="N922" s="74"/>
    </row>
    <row r="923" spans="14:14" x14ac:dyDescent="0.25">
      <c r="N923" s="74"/>
    </row>
    <row r="924" spans="14:14" x14ac:dyDescent="0.25">
      <c r="N924" s="74"/>
    </row>
    <row r="925" spans="14:14" x14ac:dyDescent="0.25">
      <c r="N925" s="74"/>
    </row>
    <row r="926" spans="14:14" x14ac:dyDescent="0.25">
      <c r="N926" s="74"/>
    </row>
    <row r="927" spans="14:14" x14ac:dyDescent="0.25">
      <c r="N927" s="74"/>
    </row>
    <row r="928" spans="14:14" x14ac:dyDescent="0.25">
      <c r="N928" s="74"/>
    </row>
    <row r="929" spans="14:14" x14ac:dyDescent="0.25">
      <c r="N929" s="74"/>
    </row>
    <row r="930" spans="14:14" x14ac:dyDescent="0.25">
      <c r="N930" s="74"/>
    </row>
    <row r="931" spans="14:14" x14ac:dyDescent="0.25">
      <c r="N931" s="74"/>
    </row>
    <row r="932" spans="14:14" x14ac:dyDescent="0.25">
      <c r="N932" s="74"/>
    </row>
    <row r="933" spans="14:14" x14ac:dyDescent="0.25">
      <c r="N933" s="74"/>
    </row>
    <row r="934" spans="14:14" x14ac:dyDescent="0.25">
      <c r="N934" s="74"/>
    </row>
    <row r="935" spans="14:14" x14ac:dyDescent="0.25">
      <c r="N935" s="74"/>
    </row>
    <row r="936" spans="14:14" x14ac:dyDescent="0.25">
      <c r="N936" s="74"/>
    </row>
    <row r="937" spans="14:14" x14ac:dyDescent="0.25">
      <c r="N937" s="74"/>
    </row>
    <row r="938" spans="14:14" x14ac:dyDescent="0.25">
      <c r="N938" s="74"/>
    </row>
    <row r="939" spans="14:14" x14ac:dyDescent="0.25">
      <c r="N939" s="74"/>
    </row>
    <row r="940" spans="14:14" x14ac:dyDescent="0.25">
      <c r="N940" s="74"/>
    </row>
    <row r="941" spans="14:14" x14ac:dyDescent="0.25">
      <c r="N941" s="74"/>
    </row>
    <row r="942" spans="14:14" x14ac:dyDescent="0.25">
      <c r="N942" s="74"/>
    </row>
    <row r="943" spans="14:14" x14ac:dyDescent="0.25">
      <c r="N943" s="74"/>
    </row>
    <row r="944" spans="14:14" x14ac:dyDescent="0.25">
      <c r="N944" s="74"/>
    </row>
    <row r="945" spans="14:14" x14ac:dyDescent="0.25">
      <c r="N945" s="74"/>
    </row>
    <row r="946" spans="14:14" x14ac:dyDescent="0.25">
      <c r="N946" s="74"/>
    </row>
    <row r="947" spans="14:14" x14ac:dyDescent="0.25">
      <c r="N947" s="74"/>
    </row>
    <row r="948" spans="14:14" x14ac:dyDescent="0.25">
      <c r="N948" s="74"/>
    </row>
    <row r="949" spans="14:14" x14ac:dyDescent="0.25">
      <c r="N949" s="74"/>
    </row>
    <row r="950" spans="14:14" x14ac:dyDescent="0.25">
      <c r="N950" s="74"/>
    </row>
    <row r="951" spans="14:14" x14ac:dyDescent="0.25">
      <c r="N951" s="74"/>
    </row>
    <row r="952" spans="14:14" x14ac:dyDescent="0.25">
      <c r="N952" s="74"/>
    </row>
    <row r="953" spans="14:14" x14ac:dyDescent="0.25">
      <c r="N953" s="74"/>
    </row>
    <row r="954" spans="14:14" x14ac:dyDescent="0.25">
      <c r="N954" s="74"/>
    </row>
    <row r="955" spans="14:14" x14ac:dyDescent="0.25">
      <c r="N955" s="74"/>
    </row>
    <row r="956" spans="14:14" x14ac:dyDescent="0.25">
      <c r="N956" s="74"/>
    </row>
    <row r="957" spans="14:14" x14ac:dyDescent="0.25">
      <c r="N957" s="74"/>
    </row>
    <row r="958" spans="14:14" x14ac:dyDescent="0.25">
      <c r="N958" s="74"/>
    </row>
    <row r="959" spans="14:14" x14ac:dyDescent="0.25">
      <c r="N959" s="74"/>
    </row>
    <row r="960" spans="14:14" x14ac:dyDescent="0.25">
      <c r="N960" s="74"/>
    </row>
    <row r="961" spans="14:14" x14ac:dyDescent="0.25">
      <c r="N961" s="74"/>
    </row>
    <row r="962" spans="14:14" x14ac:dyDescent="0.25">
      <c r="N962" s="74"/>
    </row>
    <row r="963" spans="14:14" x14ac:dyDescent="0.25">
      <c r="N963" s="74"/>
    </row>
    <row r="964" spans="14:14" x14ac:dyDescent="0.25">
      <c r="N964" s="74"/>
    </row>
    <row r="965" spans="14:14" x14ac:dyDescent="0.25">
      <c r="N965" s="74"/>
    </row>
    <row r="966" spans="14:14" x14ac:dyDescent="0.25">
      <c r="N966" s="74"/>
    </row>
    <row r="967" spans="14:14" x14ac:dyDescent="0.25">
      <c r="N967" s="74"/>
    </row>
    <row r="968" spans="14:14" x14ac:dyDescent="0.25">
      <c r="N968" s="74"/>
    </row>
    <row r="969" spans="14:14" x14ac:dyDescent="0.25">
      <c r="N969" s="74"/>
    </row>
    <row r="970" spans="14:14" x14ac:dyDescent="0.25">
      <c r="N970" s="74"/>
    </row>
    <row r="971" spans="14:14" x14ac:dyDescent="0.25">
      <c r="N971" s="74"/>
    </row>
    <row r="972" spans="14:14" x14ac:dyDescent="0.25">
      <c r="N972" s="74"/>
    </row>
    <row r="973" spans="14:14" x14ac:dyDescent="0.25">
      <c r="N973" s="74"/>
    </row>
    <row r="974" spans="14:14" x14ac:dyDescent="0.25">
      <c r="N974" s="74"/>
    </row>
    <row r="975" spans="14:14" x14ac:dyDescent="0.25">
      <c r="N975" s="74"/>
    </row>
    <row r="976" spans="14:14" x14ac:dyDescent="0.25">
      <c r="N976" s="74"/>
    </row>
    <row r="977" spans="14:14" x14ac:dyDescent="0.25">
      <c r="N977" s="74"/>
    </row>
    <row r="978" spans="14:14" x14ac:dyDescent="0.25">
      <c r="N978" s="74"/>
    </row>
    <row r="979" spans="14:14" x14ac:dyDescent="0.25">
      <c r="N979" s="74"/>
    </row>
    <row r="980" spans="14:14" x14ac:dyDescent="0.25">
      <c r="N980" s="74"/>
    </row>
    <row r="981" spans="14:14" x14ac:dyDescent="0.25">
      <c r="N981" s="74"/>
    </row>
    <row r="982" spans="14:14" x14ac:dyDescent="0.25">
      <c r="N982" s="74"/>
    </row>
    <row r="983" spans="14:14" x14ac:dyDescent="0.25">
      <c r="N983" s="74"/>
    </row>
    <row r="984" spans="14:14" x14ac:dyDescent="0.25">
      <c r="N984" s="74"/>
    </row>
    <row r="985" spans="14:14" x14ac:dyDescent="0.25">
      <c r="N985" s="74"/>
    </row>
    <row r="986" spans="14:14" x14ac:dyDescent="0.25">
      <c r="N986" s="74"/>
    </row>
    <row r="987" spans="14:14" x14ac:dyDescent="0.25">
      <c r="N987" s="74"/>
    </row>
    <row r="988" spans="14:14" x14ac:dyDescent="0.25">
      <c r="N988" s="74"/>
    </row>
    <row r="989" spans="14:14" x14ac:dyDescent="0.25">
      <c r="N989" s="74"/>
    </row>
    <row r="990" spans="14:14" x14ac:dyDescent="0.25">
      <c r="N990" s="74"/>
    </row>
    <row r="991" spans="14:14" x14ac:dyDescent="0.25">
      <c r="N991" s="74"/>
    </row>
    <row r="992" spans="14:14" x14ac:dyDescent="0.25">
      <c r="N992" s="74"/>
    </row>
    <row r="993" spans="14:14" x14ac:dyDescent="0.25">
      <c r="N993" s="74"/>
    </row>
    <row r="994" spans="14:14" x14ac:dyDescent="0.25">
      <c r="N994" s="74"/>
    </row>
    <row r="995" spans="14:14" x14ac:dyDescent="0.25">
      <c r="N995" s="74"/>
    </row>
    <row r="996" spans="14:14" x14ac:dyDescent="0.25">
      <c r="N996" s="74"/>
    </row>
    <row r="997" spans="14:14" x14ac:dyDescent="0.25">
      <c r="N997" s="74"/>
    </row>
    <row r="998" spans="14:14" x14ac:dyDescent="0.25">
      <c r="N998" s="74"/>
    </row>
    <row r="999" spans="14:14" x14ac:dyDescent="0.25">
      <c r="N999" s="74"/>
    </row>
    <row r="1000" spans="14:14" x14ac:dyDescent="0.25">
      <c r="N1000" s="74"/>
    </row>
    <row r="1001" spans="14:14" x14ac:dyDescent="0.25">
      <c r="N1001" s="74"/>
    </row>
    <row r="1002" spans="14:14" x14ac:dyDescent="0.25">
      <c r="N1002" s="74"/>
    </row>
    <row r="1003" spans="14:14" x14ac:dyDescent="0.25">
      <c r="N1003" s="74"/>
    </row>
    <row r="1004" spans="14:14" x14ac:dyDescent="0.25">
      <c r="N1004" s="74"/>
    </row>
    <row r="1005" spans="14:14" x14ac:dyDescent="0.25">
      <c r="N1005" s="74"/>
    </row>
    <row r="1006" spans="14:14" x14ac:dyDescent="0.25">
      <c r="N1006" s="74"/>
    </row>
    <row r="1007" spans="14:14" x14ac:dyDescent="0.25">
      <c r="N1007" s="74"/>
    </row>
    <row r="1008" spans="14:14" x14ac:dyDescent="0.25">
      <c r="N1008" s="74"/>
    </row>
    <row r="1009" spans="14:14" x14ac:dyDescent="0.25">
      <c r="N1009" s="74"/>
    </row>
    <row r="1010" spans="14:14" x14ac:dyDescent="0.25">
      <c r="N1010" s="74"/>
    </row>
    <row r="1011" spans="14:14" x14ac:dyDescent="0.25">
      <c r="N1011" s="74"/>
    </row>
    <row r="1012" spans="14:14" x14ac:dyDescent="0.25">
      <c r="N1012" s="74"/>
    </row>
    <row r="1013" spans="14:14" x14ac:dyDescent="0.25">
      <c r="N1013" s="74"/>
    </row>
    <row r="1014" spans="14:14" x14ac:dyDescent="0.25">
      <c r="N1014" s="74"/>
    </row>
    <row r="1015" spans="14:14" x14ac:dyDescent="0.25">
      <c r="N1015" s="74"/>
    </row>
    <row r="1016" spans="14:14" x14ac:dyDescent="0.25">
      <c r="N1016" s="74"/>
    </row>
    <row r="1017" spans="14:14" x14ac:dyDescent="0.25">
      <c r="N1017" s="74"/>
    </row>
    <row r="1018" spans="14:14" x14ac:dyDescent="0.25">
      <c r="N1018" s="74"/>
    </row>
    <row r="1019" spans="14:14" x14ac:dyDescent="0.25">
      <c r="N1019" s="74"/>
    </row>
    <row r="1020" spans="14:14" x14ac:dyDescent="0.25">
      <c r="N1020" s="74"/>
    </row>
    <row r="1021" spans="14:14" x14ac:dyDescent="0.25">
      <c r="N1021" s="74"/>
    </row>
    <row r="1022" spans="14:14" x14ac:dyDescent="0.25">
      <c r="N1022" s="74"/>
    </row>
    <row r="1023" spans="14:14" x14ac:dyDescent="0.25">
      <c r="N1023" s="74"/>
    </row>
    <row r="1024" spans="14:14" x14ac:dyDescent="0.25">
      <c r="N1024" s="74"/>
    </row>
    <row r="1025" spans="14:14" x14ac:dyDescent="0.25">
      <c r="N1025" s="74"/>
    </row>
    <row r="1026" spans="14:14" x14ac:dyDescent="0.25">
      <c r="N1026" s="74"/>
    </row>
    <row r="1027" spans="14:14" x14ac:dyDescent="0.25">
      <c r="N1027" s="74"/>
    </row>
    <row r="1028" spans="14:14" x14ac:dyDescent="0.25">
      <c r="N1028" s="74"/>
    </row>
    <row r="1029" spans="14:14" x14ac:dyDescent="0.25">
      <c r="N1029" s="74"/>
    </row>
    <row r="1030" spans="14:14" x14ac:dyDescent="0.25">
      <c r="N1030" s="74"/>
    </row>
    <row r="1031" spans="14:14" x14ac:dyDescent="0.25">
      <c r="N1031" s="74"/>
    </row>
    <row r="1032" spans="14:14" x14ac:dyDescent="0.25">
      <c r="N1032" s="74"/>
    </row>
    <row r="1033" spans="14:14" x14ac:dyDescent="0.25">
      <c r="N1033" s="74"/>
    </row>
    <row r="1034" spans="14:14" x14ac:dyDescent="0.25">
      <c r="N1034" s="74"/>
    </row>
    <row r="1035" spans="14:14" x14ac:dyDescent="0.25">
      <c r="N1035" s="74"/>
    </row>
    <row r="1036" spans="14:14" x14ac:dyDescent="0.25">
      <c r="N1036" s="74"/>
    </row>
    <row r="1037" spans="14:14" x14ac:dyDescent="0.25">
      <c r="N1037" s="74"/>
    </row>
    <row r="1038" spans="14:14" x14ac:dyDescent="0.25">
      <c r="N1038" s="74"/>
    </row>
    <row r="1039" spans="14:14" x14ac:dyDescent="0.25">
      <c r="N1039" s="74"/>
    </row>
    <row r="1040" spans="14:14" x14ac:dyDescent="0.25">
      <c r="N1040" s="74"/>
    </row>
    <row r="1041" spans="14:14" x14ac:dyDescent="0.25">
      <c r="N1041" s="74"/>
    </row>
    <row r="1042" spans="14:14" x14ac:dyDescent="0.25">
      <c r="N1042" s="74"/>
    </row>
    <row r="1043" spans="14:14" x14ac:dyDescent="0.25">
      <c r="N1043" s="74"/>
    </row>
    <row r="1044" spans="14:14" x14ac:dyDescent="0.25">
      <c r="N1044" s="74"/>
    </row>
    <row r="1045" spans="14:14" x14ac:dyDescent="0.25">
      <c r="N1045" s="74"/>
    </row>
    <row r="1046" spans="14:14" x14ac:dyDescent="0.25">
      <c r="N1046" s="74"/>
    </row>
    <row r="1047" spans="14:14" x14ac:dyDescent="0.25">
      <c r="N1047" s="74"/>
    </row>
    <row r="1048" spans="14:14" x14ac:dyDescent="0.25">
      <c r="N1048" s="74"/>
    </row>
    <row r="1049" spans="14:14" x14ac:dyDescent="0.25">
      <c r="N1049" s="74"/>
    </row>
    <row r="1050" spans="14:14" x14ac:dyDescent="0.25">
      <c r="N1050" s="74"/>
    </row>
    <row r="1051" spans="14:14" x14ac:dyDescent="0.25">
      <c r="N1051" s="74"/>
    </row>
    <row r="1052" spans="14:14" x14ac:dyDescent="0.25">
      <c r="N1052" s="74"/>
    </row>
    <row r="1053" spans="14:14" x14ac:dyDescent="0.25">
      <c r="N1053" s="74"/>
    </row>
    <row r="1054" spans="14:14" x14ac:dyDescent="0.25">
      <c r="N1054" s="74"/>
    </row>
    <row r="1055" spans="14:14" x14ac:dyDescent="0.25">
      <c r="N1055" s="74"/>
    </row>
    <row r="1056" spans="14:14" x14ac:dyDescent="0.25">
      <c r="N1056" s="74"/>
    </row>
    <row r="1057" spans="14:14" x14ac:dyDescent="0.25">
      <c r="N1057" s="74"/>
    </row>
    <row r="1058" spans="14:14" x14ac:dyDescent="0.25">
      <c r="N1058" s="74"/>
    </row>
    <row r="1059" spans="14:14" x14ac:dyDescent="0.25">
      <c r="N1059" s="74"/>
    </row>
    <row r="1060" spans="14:14" x14ac:dyDescent="0.25">
      <c r="N1060" s="74"/>
    </row>
    <row r="1061" spans="14:14" x14ac:dyDescent="0.25">
      <c r="N1061" s="74"/>
    </row>
    <row r="1062" spans="14:14" x14ac:dyDescent="0.25">
      <c r="N1062" s="74"/>
    </row>
    <row r="1063" spans="14:14" x14ac:dyDescent="0.25">
      <c r="N1063" s="74"/>
    </row>
    <row r="1064" spans="14:14" x14ac:dyDescent="0.25">
      <c r="N1064" s="74"/>
    </row>
    <row r="1065" spans="14:14" x14ac:dyDescent="0.25">
      <c r="N1065" s="74"/>
    </row>
    <row r="1066" spans="14:14" x14ac:dyDescent="0.25">
      <c r="N1066" s="74"/>
    </row>
    <row r="1067" spans="14:14" x14ac:dyDescent="0.25">
      <c r="N1067" s="74"/>
    </row>
    <row r="1068" spans="14:14" x14ac:dyDescent="0.25">
      <c r="N1068" s="74"/>
    </row>
    <row r="1069" spans="14:14" x14ac:dyDescent="0.25">
      <c r="N1069" s="74"/>
    </row>
    <row r="1070" spans="14:14" x14ac:dyDescent="0.25">
      <c r="N1070" s="74"/>
    </row>
    <row r="1071" spans="14:14" x14ac:dyDescent="0.25">
      <c r="N1071" s="74"/>
    </row>
    <row r="1072" spans="14:14" x14ac:dyDescent="0.25">
      <c r="N1072" s="74"/>
    </row>
    <row r="1073" spans="14:14" x14ac:dyDescent="0.25">
      <c r="N1073" s="74"/>
    </row>
    <row r="1074" spans="14:14" x14ac:dyDescent="0.25">
      <c r="N1074" s="74"/>
    </row>
    <row r="1075" spans="14:14" x14ac:dyDescent="0.25">
      <c r="N1075" s="74"/>
    </row>
    <row r="1076" spans="14:14" x14ac:dyDescent="0.25">
      <c r="N1076" s="74"/>
    </row>
    <row r="1077" spans="14:14" x14ac:dyDescent="0.25">
      <c r="N1077" s="74"/>
    </row>
    <row r="1078" spans="14:14" x14ac:dyDescent="0.25">
      <c r="N1078" s="74"/>
    </row>
    <row r="1079" spans="14:14" x14ac:dyDescent="0.25">
      <c r="N1079" s="74"/>
    </row>
    <row r="1080" spans="14:14" x14ac:dyDescent="0.25">
      <c r="N1080" s="74"/>
    </row>
    <row r="1081" spans="14:14" x14ac:dyDescent="0.25">
      <c r="N1081" s="74"/>
    </row>
    <row r="1082" spans="14:14" x14ac:dyDescent="0.25">
      <c r="N1082" s="74"/>
    </row>
    <row r="1083" spans="14:14" x14ac:dyDescent="0.25">
      <c r="N1083" s="74"/>
    </row>
    <row r="1084" spans="14:14" x14ac:dyDescent="0.25">
      <c r="N1084" s="74"/>
    </row>
    <row r="1085" spans="14:14" x14ac:dyDescent="0.25">
      <c r="N1085" s="74"/>
    </row>
    <row r="1086" spans="14:14" x14ac:dyDescent="0.25">
      <c r="N1086" s="74"/>
    </row>
    <row r="1087" spans="14:14" x14ac:dyDescent="0.25">
      <c r="N1087" s="74"/>
    </row>
    <row r="1088" spans="14:14" x14ac:dyDescent="0.25">
      <c r="N1088" s="74"/>
    </row>
    <row r="1089" spans="14:14" x14ac:dyDescent="0.25">
      <c r="N1089" s="74"/>
    </row>
    <row r="1090" spans="14:14" x14ac:dyDescent="0.25">
      <c r="N1090" s="74"/>
    </row>
    <row r="1091" spans="14:14" x14ac:dyDescent="0.25">
      <c r="N1091" s="74"/>
    </row>
    <row r="1092" spans="14:14" x14ac:dyDescent="0.25">
      <c r="N1092" s="74"/>
    </row>
    <row r="1093" spans="14:14" x14ac:dyDescent="0.25">
      <c r="N1093" s="74"/>
    </row>
    <row r="1094" spans="14:14" x14ac:dyDescent="0.25">
      <c r="N1094" s="74"/>
    </row>
    <row r="1095" spans="14:14" x14ac:dyDescent="0.25">
      <c r="N1095" s="74"/>
    </row>
    <row r="1096" spans="14:14" x14ac:dyDescent="0.25">
      <c r="N1096" s="74"/>
    </row>
    <row r="1097" spans="14:14" x14ac:dyDescent="0.25">
      <c r="N1097" s="74"/>
    </row>
    <row r="1098" spans="14:14" x14ac:dyDescent="0.25">
      <c r="N1098" s="74"/>
    </row>
    <row r="1099" spans="14:14" x14ac:dyDescent="0.25">
      <c r="N1099" s="74"/>
    </row>
    <row r="1100" spans="14:14" x14ac:dyDescent="0.25">
      <c r="N1100" s="74"/>
    </row>
    <row r="1101" spans="14:14" x14ac:dyDescent="0.25">
      <c r="N1101" s="74"/>
    </row>
    <row r="1102" spans="14:14" x14ac:dyDescent="0.25">
      <c r="N1102" s="74"/>
    </row>
    <row r="1103" spans="14:14" x14ac:dyDescent="0.25">
      <c r="N1103" s="74"/>
    </row>
    <row r="1104" spans="14:14" x14ac:dyDescent="0.25">
      <c r="N1104" s="74"/>
    </row>
    <row r="1105" spans="14:14" x14ac:dyDescent="0.25">
      <c r="N1105" s="74"/>
    </row>
    <row r="1106" spans="14:14" x14ac:dyDescent="0.25">
      <c r="N1106" s="74"/>
    </row>
    <row r="1107" spans="14:14" x14ac:dyDescent="0.25">
      <c r="N1107" s="74"/>
    </row>
    <row r="1108" spans="14:14" x14ac:dyDescent="0.25">
      <c r="N1108" s="74"/>
    </row>
    <row r="1109" spans="14:14" x14ac:dyDescent="0.25">
      <c r="N1109" s="74"/>
    </row>
    <row r="1110" spans="14:14" x14ac:dyDescent="0.25">
      <c r="N1110" s="74"/>
    </row>
    <row r="1111" spans="14:14" x14ac:dyDescent="0.25">
      <c r="N1111" s="74"/>
    </row>
    <row r="1112" spans="14:14" x14ac:dyDescent="0.25">
      <c r="N1112" s="74"/>
    </row>
    <row r="1113" spans="14:14" x14ac:dyDescent="0.25">
      <c r="N1113" s="74"/>
    </row>
    <row r="1114" spans="14:14" x14ac:dyDescent="0.25">
      <c r="N1114" s="74"/>
    </row>
    <row r="1115" spans="14:14" x14ac:dyDescent="0.25">
      <c r="N1115" s="74"/>
    </row>
    <row r="1116" spans="14:14" x14ac:dyDescent="0.25">
      <c r="N1116" s="74"/>
    </row>
    <row r="1117" spans="14:14" x14ac:dyDescent="0.25">
      <c r="N1117" s="74"/>
    </row>
    <row r="1118" spans="14:14" x14ac:dyDescent="0.25">
      <c r="N1118" s="74"/>
    </row>
    <row r="1119" spans="14:14" x14ac:dyDescent="0.25">
      <c r="N1119" s="74"/>
    </row>
    <row r="1120" spans="14:14" x14ac:dyDescent="0.25">
      <c r="N1120" s="74"/>
    </row>
    <row r="1121" spans="14:14" x14ac:dyDescent="0.25">
      <c r="N1121" s="74"/>
    </row>
    <row r="1122" spans="14:14" x14ac:dyDescent="0.25">
      <c r="N1122" s="74"/>
    </row>
    <row r="1123" spans="14:14" x14ac:dyDescent="0.25">
      <c r="N1123" s="74"/>
    </row>
    <row r="1124" spans="14:14" x14ac:dyDescent="0.25">
      <c r="N1124" s="74"/>
    </row>
    <row r="1125" spans="14:14" x14ac:dyDescent="0.25">
      <c r="N1125" s="74"/>
    </row>
    <row r="1126" spans="14:14" x14ac:dyDescent="0.25">
      <c r="N1126" s="74"/>
    </row>
    <row r="1127" spans="14:14" x14ac:dyDescent="0.25">
      <c r="N1127" s="74"/>
    </row>
    <row r="1128" spans="14:14" x14ac:dyDescent="0.25">
      <c r="N1128" s="74"/>
    </row>
    <row r="1129" spans="14:14" x14ac:dyDescent="0.25">
      <c r="N1129" s="74"/>
    </row>
    <row r="1130" spans="14:14" x14ac:dyDescent="0.25">
      <c r="N1130" s="74"/>
    </row>
    <row r="1131" spans="14:14" x14ac:dyDescent="0.25">
      <c r="N1131" s="74"/>
    </row>
    <row r="1132" spans="14:14" x14ac:dyDescent="0.25">
      <c r="N1132" s="74"/>
    </row>
    <row r="1133" spans="14:14" x14ac:dyDescent="0.25">
      <c r="N1133" s="74"/>
    </row>
    <row r="1134" spans="14:14" x14ac:dyDescent="0.25">
      <c r="N1134" s="74"/>
    </row>
    <row r="1135" spans="14:14" x14ac:dyDescent="0.25">
      <c r="N1135" s="74"/>
    </row>
    <row r="1136" spans="14:14" x14ac:dyDescent="0.25">
      <c r="N1136" s="74"/>
    </row>
    <row r="1137" spans="14:14" x14ac:dyDescent="0.25">
      <c r="N1137" s="74"/>
    </row>
    <row r="1138" spans="14:14" x14ac:dyDescent="0.25">
      <c r="N1138" s="74"/>
    </row>
    <row r="1139" spans="14:14" x14ac:dyDescent="0.25">
      <c r="N1139" s="74"/>
    </row>
    <row r="1140" spans="14:14" x14ac:dyDescent="0.25">
      <c r="N1140" s="74"/>
    </row>
    <row r="1141" spans="14:14" x14ac:dyDescent="0.25">
      <c r="N1141" s="74"/>
    </row>
    <row r="1142" spans="14:14" x14ac:dyDescent="0.25">
      <c r="N1142" s="74"/>
    </row>
    <row r="1143" spans="14:14" x14ac:dyDescent="0.25">
      <c r="N1143" s="74"/>
    </row>
    <row r="1144" spans="14:14" x14ac:dyDescent="0.25">
      <c r="N1144" s="74"/>
    </row>
    <row r="1145" spans="14:14" x14ac:dyDescent="0.25">
      <c r="N1145" s="74"/>
    </row>
    <row r="1146" spans="14:14" x14ac:dyDescent="0.25">
      <c r="N1146" s="74"/>
    </row>
    <row r="1147" spans="14:14" x14ac:dyDescent="0.25">
      <c r="N1147" s="74"/>
    </row>
    <row r="1148" spans="14:14" x14ac:dyDescent="0.25">
      <c r="N1148" s="74"/>
    </row>
    <row r="1149" spans="14:14" x14ac:dyDescent="0.25">
      <c r="N1149" s="74"/>
    </row>
    <row r="1150" spans="14:14" x14ac:dyDescent="0.25">
      <c r="N1150" s="74"/>
    </row>
    <row r="1151" spans="14:14" x14ac:dyDescent="0.25">
      <c r="N1151" s="74"/>
    </row>
    <row r="1152" spans="14:14" x14ac:dyDescent="0.25">
      <c r="N1152" s="74"/>
    </row>
    <row r="1153" spans="14:14" x14ac:dyDescent="0.25">
      <c r="N1153" s="74"/>
    </row>
    <row r="1154" spans="14:14" x14ac:dyDescent="0.25">
      <c r="N1154" s="74"/>
    </row>
    <row r="1155" spans="14:14" x14ac:dyDescent="0.25">
      <c r="N1155" s="74"/>
    </row>
    <row r="1156" spans="14:14" x14ac:dyDescent="0.25">
      <c r="N1156" s="74"/>
    </row>
    <row r="1157" spans="14:14" x14ac:dyDescent="0.25">
      <c r="N1157" s="74"/>
    </row>
    <row r="1158" spans="14:14" x14ac:dyDescent="0.25">
      <c r="N1158" s="74"/>
    </row>
    <row r="1159" spans="14:14" x14ac:dyDescent="0.25">
      <c r="N1159" s="74"/>
    </row>
    <row r="1160" spans="14:14" x14ac:dyDescent="0.25">
      <c r="N1160" s="74"/>
    </row>
    <row r="1161" spans="14:14" x14ac:dyDescent="0.25">
      <c r="N1161" s="74"/>
    </row>
    <row r="1162" spans="14:14" x14ac:dyDescent="0.25">
      <c r="N1162" s="74"/>
    </row>
    <row r="1163" spans="14:14" x14ac:dyDescent="0.25">
      <c r="N1163" s="74"/>
    </row>
    <row r="1164" spans="14:14" x14ac:dyDescent="0.25">
      <c r="N1164" s="74"/>
    </row>
    <row r="1165" spans="14:14" x14ac:dyDescent="0.25">
      <c r="N1165" s="74"/>
    </row>
    <row r="1166" spans="14:14" x14ac:dyDescent="0.25">
      <c r="N1166" s="74"/>
    </row>
    <row r="1167" spans="14:14" x14ac:dyDescent="0.25">
      <c r="N1167" s="74"/>
    </row>
    <row r="1168" spans="14:14" x14ac:dyDescent="0.25">
      <c r="N1168" s="74"/>
    </row>
    <row r="1169" spans="14:14" x14ac:dyDescent="0.25">
      <c r="N1169" s="74"/>
    </row>
    <row r="1170" spans="14:14" x14ac:dyDescent="0.25">
      <c r="N1170" s="74"/>
    </row>
    <row r="1171" spans="14:14" x14ac:dyDescent="0.25">
      <c r="N1171" s="74"/>
    </row>
    <row r="1172" spans="14:14" x14ac:dyDescent="0.25">
      <c r="N1172" s="74"/>
    </row>
    <row r="1173" spans="14:14" x14ac:dyDescent="0.25">
      <c r="N1173" s="74"/>
    </row>
    <row r="1174" spans="14:14" x14ac:dyDescent="0.25">
      <c r="N1174" s="74"/>
    </row>
    <row r="1175" spans="14:14" x14ac:dyDescent="0.25">
      <c r="N1175" s="74"/>
    </row>
    <row r="1176" spans="14:14" x14ac:dyDescent="0.25">
      <c r="N1176" s="74"/>
    </row>
    <row r="1177" spans="14:14" x14ac:dyDescent="0.25">
      <c r="N1177" s="74"/>
    </row>
    <row r="1178" spans="14:14" x14ac:dyDescent="0.25">
      <c r="N1178" s="74"/>
    </row>
    <row r="1179" spans="14:14" x14ac:dyDescent="0.25">
      <c r="N1179" s="74"/>
    </row>
    <row r="1180" spans="14:14" x14ac:dyDescent="0.25">
      <c r="N1180" s="74"/>
    </row>
    <row r="1181" spans="14:14" x14ac:dyDescent="0.25">
      <c r="N1181" s="74"/>
    </row>
    <row r="1182" spans="14:14" x14ac:dyDescent="0.25">
      <c r="N1182" s="74"/>
    </row>
    <row r="1183" spans="14:14" x14ac:dyDescent="0.25">
      <c r="N1183" s="74"/>
    </row>
    <row r="1184" spans="14:14" x14ac:dyDescent="0.25">
      <c r="N1184" s="74"/>
    </row>
    <row r="1185" spans="14:14" x14ac:dyDescent="0.25">
      <c r="N1185" s="74"/>
    </row>
    <row r="1186" spans="14:14" x14ac:dyDescent="0.25">
      <c r="N1186" s="74"/>
    </row>
    <row r="1187" spans="14:14" x14ac:dyDescent="0.25">
      <c r="N1187" s="74"/>
    </row>
    <row r="1188" spans="14:14" x14ac:dyDescent="0.25">
      <c r="N1188" s="74"/>
    </row>
    <row r="1189" spans="14:14" x14ac:dyDescent="0.25">
      <c r="N1189" s="74"/>
    </row>
    <row r="1190" spans="14:14" x14ac:dyDescent="0.25">
      <c r="N1190" s="74"/>
    </row>
    <row r="1191" spans="14:14" x14ac:dyDescent="0.25">
      <c r="N1191" s="74"/>
    </row>
    <row r="1192" spans="14:14" x14ac:dyDescent="0.25">
      <c r="N1192" s="74"/>
    </row>
    <row r="1193" spans="14:14" x14ac:dyDescent="0.25">
      <c r="N1193" s="74"/>
    </row>
    <row r="1194" spans="14:14" x14ac:dyDescent="0.25">
      <c r="N1194" s="74"/>
    </row>
    <row r="1195" spans="14:14" x14ac:dyDescent="0.25">
      <c r="N1195" s="74"/>
    </row>
    <row r="1196" spans="14:14" x14ac:dyDescent="0.25">
      <c r="N1196" s="74"/>
    </row>
    <row r="1197" spans="14:14" x14ac:dyDescent="0.25">
      <c r="N1197" s="74"/>
    </row>
    <row r="1198" spans="14:14" x14ac:dyDescent="0.25">
      <c r="N1198" s="74"/>
    </row>
    <row r="1199" spans="14:14" x14ac:dyDescent="0.25">
      <c r="N1199" s="74"/>
    </row>
    <row r="1200" spans="14:14" x14ac:dyDescent="0.25">
      <c r="N1200" s="74"/>
    </row>
    <row r="1201" spans="14:14" x14ac:dyDescent="0.25">
      <c r="N1201" s="74"/>
    </row>
    <row r="1202" spans="14:14" x14ac:dyDescent="0.25">
      <c r="N1202" s="74"/>
    </row>
    <row r="1203" spans="14:14" x14ac:dyDescent="0.25">
      <c r="N1203" s="74"/>
    </row>
    <row r="1204" spans="14:14" x14ac:dyDescent="0.25">
      <c r="N1204" s="74"/>
    </row>
    <row r="1205" spans="14:14" x14ac:dyDescent="0.25">
      <c r="N1205" s="74"/>
    </row>
    <row r="1206" spans="14:14" x14ac:dyDescent="0.25">
      <c r="N1206" s="74"/>
    </row>
    <row r="1207" spans="14:14" x14ac:dyDescent="0.25">
      <c r="N1207" s="74"/>
    </row>
    <row r="1208" spans="14:14" x14ac:dyDescent="0.25">
      <c r="N1208" s="74"/>
    </row>
    <row r="1209" spans="14:14" x14ac:dyDescent="0.25">
      <c r="N1209" s="74"/>
    </row>
    <row r="1210" spans="14:14" x14ac:dyDescent="0.25">
      <c r="N1210" s="74"/>
    </row>
    <row r="1211" spans="14:14" x14ac:dyDescent="0.25">
      <c r="N1211" s="74"/>
    </row>
    <row r="1212" spans="14:14" x14ac:dyDescent="0.25">
      <c r="N1212" s="74"/>
    </row>
    <row r="1213" spans="14:14" x14ac:dyDescent="0.25">
      <c r="N1213" s="74"/>
    </row>
    <row r="1214" spans="14:14" x14ac:dyDescent="0.25">
      <c r="N1214" s="74"/>
    </row>
    <row r="1215" spans="14:14" x14ac:dyDescent="0.25">
      <c r="N1215" s="74"/>
    </row>
    <row r="1216" spans="14:14" x14ac:dyDescent="0.25">
      <c r="N1216" s="74"/>
    </row>
    <row r="1217" spans="14:14" x14ac:dyDescent="0.25">
      <c r="N1217" s="74"/>
    </row>
    <row r="1218" spans="14:14" x14ac:dyDescent="0.25">
      <c r="N1218" s="74"/>
    </row>
    <row r="1219" spans="14:14" x14ac:dyDescent="0.25">
      <c r="N1219" s="74"/>
    </row>
    <row r="1220" spans="14:14" x14ac:dyDescent="0.25">
      <c r="N1220" s="74"/>
    </row>
    <row r="1221" spans="14:14" x14ac:dyDescent="0.25">
      <c r="N1221" s="74"/>
    </row>
    <row r="1222" spans="14:14" x14ac:dyDescent="0.25">
      <c r="N1222" s="74"/>
    </row>
    <row r="1223" spans="14:14" x14ac:dyDescent="0.25">
      <c r="N1223" s="74"/>
    </row>
    <row r="1224" spans="14:14" x14ac:dyDescent="0.25">
      <c r="N1224" s="74"/>
    </row>
    <row r="1225" spans="14:14" x14ac:dyDescent="0.25">
      <c r="N1225" s="74"/>
    </row>
    <row r="1226" spans="14:14" x14ac:dyDescent="0.25">
      <c r="N1226" s="74"/>
    </row>
    <row r="1227" spans="14:14" x14ac:dyDescent="0.25">
      <c r="N1227" s="74"/>
    </row>
    <row r="1228" spans="14:14" x14ac:dyDescent="0.25">
      <c r="N1228" s="74"/>
    </row>
    <row r="1229" spans="14:14" x14ac:dyDescent="0.25">
      <c r="N1229" s="74"/>
    </row>
    <row r="1230" spans="14:14" x14ac:dyDescent="0.25">
      <c r="N1230" s="74"/>
    </row>
    <row r="1231" spans="14:14" x14ac:dyDescent="0.25">
      <c r="N1231" s="74"/>
    </row>
    <row r="1232" spans="14:14" x14ac:dyDescent="0.25">
      <c r="N1232" s="74"/>
    </row>
    <row r="1233" spans="14:14" x14ac:dyDescent="0.25">
      <c r="N1233" s="74"/>
    </row>
    <row r="1234" spans="14:14" x14ac:dyDescent="0.25">
      <c r="N1234" s="74"/>
    </row>
    <row r="1235" spans="14:14" x14ac:dyDescent="0.25">
      <c r="N1235" s="74"/>
    </row>
    <row r="1236" spans="14:14" x14ac:dyDescent="0.25">
      <c r="N1236" s="74"/>
    </row>
    <row r="1237" spans="14:14" x14ac:dyDescent="0.25">
      <c r="N1237" s="74"/>
    </row>
    <row r="1238" spans="14:14" x14ac:dyDescent="0.25">
      <c r="N1238" s="74"/>
    </row>
    <row r="1239" spans="14:14" x14ac:dyDescent="0.25">
      <c r="N1239" s="74"/>
    </row>
    <row r="1240" spans="14:14" x14ac:dyDescent="0.25">
      <c r="N1240" s="74"/>
    </row>
    <row r="1241" spans="14:14" x14ac:dyDescent="0.25">
      <c r="N1241" s="74"/>
    </row>
    <row r="1242" spans="14:14" x14ac:dyDescent="0.25">
      <c r="N1242" s="74"/>
    </row>
    <row r="1243" spans="14:14" x14ac:dyDescent="0.25">
      <c r="N1243" s="74"/>
    </row>
    <row r="1244" spans="14:14" x14ac:dyDescent="0.25">
      <c r="N1244" s="74"/>
    </row>
    <row r="1245" spans="14:14" x14ac:dyDescent="0.25">
      <c r="N1245" s="74"/>
    </row>
    <row r="1246" spans="14:14" x14ac:dyDescent="0.25">
      <c r="N1246" s="74"/>
    </row>
    <row r="1247" spans="14:14" x14ac:dyDescent="0.25">
      <c r="N1247" s="74"/>
    </row>
    <row r="1248" spans="14:14" x14ac:dyDescent="0.25">
      <c r="N1248" s="74"/>
    </row>
    <row r="1249" spans="14:14" x14ac:dyDescent="0.25">
      <c r="N1249" s="74"/>
    </row>
    <row r="1250" spans="14:14" x14ac:dyDescent="0.25">
      <c r="N1250" s="74"/>
    </row>
    <row r="1251" spans="14:14" x14ac:dyDescent="0.25">
      <c r="N1251" s="74"/>
    </row>
    <row r="1252" spans="14:14" x14ac:dyDescent="0.25">
      <c r="N1252" s="74"/>
    </row>
    <row r="1253" spans="14:14" x14ac:dyDescent="0.25">
      <c r="N1253" s="74"/>
    </row>
    <row r="1254" spans="14:14" x14ac:dyDescent="0.25">
      <c r="N1254" s="74"/>
    </row>
    <row r="1255" spans="14:14" x14ac:dyDescent="0.25">
      <c r="N1255" s="74"/>
    </row>
    <row r="1256" spans="14:14" x14ac:dyDescent="0.25">
      <c r="N1256" s="74"/>
    </row>
    <row r="1257" spans="14:14" x14ac:dyDescent="0.25">
      <c r="N1257" s="74"/>
    </row>
    <row r="1258" spans="14:14" x14ac:dyDescent="0.25">
      <c r="N1258" s="74"/>
    </row>
    <row r="1259" spans="14:14" x14ac:dyDescent="0.25">
      <c r="N1259" s="74"/>
    </row>
    <row r="1260" spans="14:14" x14ac:dyDescent="0.25">
      <c r="N1260" s="74"/>
    </row>
    <row r="1261" spans="14:14" x14ac:dyDescent="0.25">
      <c r="N1261" s="74"/>
    </row>
    <row r="1262" spans="14:14" x14ac:dyDescent="0.25">
      <c r="N1262" s="74"/>
    </row>
    <row r="1263" spans="14:14" x14ac:dyDescent="0.25">
      <c r="N1263" s="74"/>
    </row>
    <row r="1264" spans="14:14" x14ac:dyDescent="0.25">
      <c r="N1264" s="74"/>
    </row>
    <row r="1265" spans="14:14" x14ac:dyDescent="0.25">
      <c r="N1265" s="74"/>
    </row>
    <row r="1266" spans="14:14" x14ac:dyDescent="0.25">
      <c r="N1266" s="74"/>
    </row>
    <row r="1267" spans="14:14" x14ac:dyDescent="0.25">
      <c r="N1267" s="74"/>
    </row>
    <row r="1268" spans="14:14" x14ac:dyDescent="0.25">
      <c r="N1268" s="74"/>
    </row>
    <row r="1269" spans="14:14" x14ac:dyDescent="0.25">
      <c r="N1269" s="74"/>
    </row>
    <row r="1270" spans="14:14" x14ac:dyDescent="0.25">
      <c r="N1270" s="74"/>
    </row>
    <row r="1271" spans="14:14" x14ac:dyDescent="0.25">
      <c r="N1271" s="74"/>
    </row>
    <row r="1272" spans="14:14" x14ac:dyDescent="0.25">
      <c r="N1272" s="74"/>
    </row>
    <row r="1273" spans="14:14" x14ac:dyDescent="0.25">
      <c r="N1273" s="74"/>
    </row>
    <row r="1274" spans="14:14" x14ac:dyDescent="0.25">
      <c r="N1274" s="74"/>
    </row>
    <row r="1275" spans="14:14" x14ac:dyDescent="0.25">
      <c r="N1275" s="74"/>
    </row>
    <row r="1276" spans="14:14" x14ac:dyDescent="0.25">
      <c r="N1276" s="74"/>
    </row>
    <row r="1277" spans="14:14" x14ac:dyDescent="0.25">
      <c r="N1277" s="74"/>
    </row>
    <row r="1278" spans="14:14" x14ac:dyDescent="0.25">
      <c r="N1278" s="74"/>
    </row>
    <row r="1279" spans="14:14" x14ac:dyDescent="0.25">
      <c r="N1279" s="74"/>
    </row>
    <row r="1280" spans="14:14" x14ac:dyDescent="0.25">
      <c r="N1280" s="74"/>
    </row>
    <row r="1281" spans="14:14" x14ac:dyDescent="0.25">
      <c r="N1281" s="74"/>
    </row>
    <row r="1282" spans="14:14" x14ac:dyDescent="0.25">
      <c r="N1282" s="74"/>
    </row>
    <row r="1283" spans="14:14" x14ac:dyDescent="0.25">
      <c r="N1283" s="74"/>
    </row>
    <row r="1284" spans="14:14" x14ac:dyDescent="0.25">
      <c r="N1284" s="74"/>
    </row>
    <row r="1285" spans="14:14" x14ac:dyDescent="0.25">
      <c r="N1285" s="74"/>
    </row>
    <row r="1286" spans="14:14" x14ac:dyDescent="0.25">
      <c r="N1286" s="74"/>
    </row>
    <row r="1287" spans="14:14" x14ac:dyDescent="0.25">
      <c r="N1287" s="74"/>
    </row>
    <row r="1288" spans="14:14" x14ac:dyDescent="0.25">
      <c r="N1288" s="74"/>
    </row>
    <row r="1289" spans="14:14" x14ac:dyDescent="0.25">
      <c r="N1289" s="74"/>
    </row>
    <row r="1290" spans="14:14" x14ac:dyDescent="0.25">
      <c r="N1290" s="74"/>
    </row>
    <row r="1291" spans="14:14" x14ac:dyDescent="0.25">
      <c r="N1291" s="74"/>
    </row>
    <row r="1292" spans="14:14" x14ac:dyDescent="0.25">
      <c r="N1292" s="74"/>
    </row>
    <row r="1293" spans="14:14" x14ac:dyDescent="0.25">
      <c r="N1293" s="74"/>
    </row>
    <row r="1294" spans="14:14" x14ac:dyDescent="0.25">
      <c r="N1294" s="74"/>
    </row>
    <row r="1295" spans="14:14" x14ac:dyDescent="0.25">
      <c r="N1295" s="74"/>
    </row>
    <row r="1296" spans="14:14" x14ac:dyDescent="0.25">
      <c r="N1296" s="74"/>
    </row>
    <row r="1297" spans="14:14" x14ac:dyDescent="0.25">
      <c r="N1297" s="74"/>
    </row>
    <row r="1298" spans="14:14" x14ac:dyDescent="0.25">
      <c r="N1298" s="74"/>
    </row>
    <row r="1299" spans="14:14" x14ac:dyDescent="0.25">
      <c r="N1299" s="74"/>
    </row>
    <row r="1300" spans="14:14" x14ac:dyDescent="0.25">
      <c r="N1300" s="74"/>
    </row>
    <row r="1301" spans="14:14" x14ac:dyDescent="0.25">
      <c r="N1301" s="74"/>
    </row>
    <row r="1302" spans="14:14" x14ac:dyDescent="0.25">
      <c r="N1302" s="74"/>
    </row>
    <row r="1303" spans="14:14" x14ac:dyDescent="0.25">
      <c r="N1303" s="74"/>
    </row>
    <row r="1304" spans="14:14" x14ac:dyDescent="0.25">
      <c r="N1304" s="74"/>
    </row>
    <row r="1305" spans="14:14" x14ac:dyDescent="0.25">
      <c r="N1305" s="74"/>
    </row>
    <row r="1306" spans="14:14" x14ac:dyDescent="0.25">
      <c r="N1306" s="74"/>
    </row>
    <row r="1307" spans="14:14" x14ac:dyDescent="0.25">
      <c r="N1307" s="74"/>
    </row>
    <row r="1308" spans="14:14" x14ac:dyDescent="0.25">
      <c r="N1308" s="74"/>
    </row>
    <row r="1309" spans="14:14" x14ac:dyDescent="0.25">
      <c r="N1309" s="74"/>
    </row>
    <row r="1310" spans="14:14" x14ac:dyDescent="0.25">
      <c r="N1310" s="74"/>
    </row>
    <row r="1311" spans="14:14" x14ac:dyDescent="0.25">
      <c r="N1311" s="74"/>
    </row>
    <row r="1312" spans="14:14" x14ac:dyDescent="0.25">
      <c r="N1312" s="74"/>
    </row>
    <row r="1313" spans="14:14" x14ac:dyDescent="0.25">
      <c r="N1313" s="74"/>
    </row>
    <row r="1314" spans="14:14" x14ac:dyDescent="0.25">
      <c r="N1314" s="74"/>
    </row>
    <row r="1315" spans="14:14" x14ac:dyDescent="0.25">
      <c r="N1315" s="74"/>
    </row>
    <row r="1316" spans="14:14" x14ac:dyDescent="0.25">
      <c r="N1316" s="74"/>
    </row>
    <row r="1317" spans="14:14" x14ac:dyDescent="0.25">
      <c r="N1317" s="74"/>
    </row>
    <row r="1318" spans="14:14" x14ac:dyDescent="0.25">
      <c r="N1318" s="74"/>
    </row>
    <row r="1319" spans="14:14" x14ac:dyDescent="0.25">
      <c r="N1319" s="74"/>
    </row>
    <row r="1320" spans="14:14" x14ac:dyDescent="0.25">
      <c r="N1320" s="74"/>
    </row>
    <row r="1321" spans="14:14" x14ac:dyDescent="0.25">
      <c r="N1321" s="74"/>
    </row>
    <row r="1322" spans="14:14" x14ac:dyDescent="0.25">
      <c r="N1322" s="74"/>
    </row>
    <row r="1323" spans="14:14" x14ac:dyDescent="0.25">
      <c r="N1323" s="74"/>
    </row>
    <row r="1324" spans="14:14" x14ac:dyDescent="0.25">
      <c r="N1324" s="74"/>
    </row>
    <row r="1325" spans="14:14" x14ac:dyDescent="0.25">
      <c r="N1325" s="74"/>
    </row>
    <row r="1326" spans="14:14" x14ac:dyDescent="0.25">
      <c r="N1326" s="74"/>
    </row>
    <row r="1327" spans="14:14" x14ac:dyDescent="0.25">
      <c r="N1327" s="74"/>
    </row>
    <row r="1328" spans="14:14" x14ac:dyDescent="0.25">
      <c r="N1328" s="74"/>
    </row>
    <row r="1329" spans="14:14" x14ac:dyDescent="0.25">
      <c r="N1329" s="74"/>
    </row>
    <row r="1330" spans="14:14" x14ac:dyDescent="0.25">
      <c r="N1330" s="74"/>
    </row>
    <row r="1331" spans="14:14" x14ac:dyDescent="0.25">
      <c r="N1331" s="74"/>
    </row>
    <row r="1332" spans="14:14" x14ac:dyDescent="0.25">
      <c r="N1332" s="74"/>
    </row>
    <row r="1333" spans="14:14" x14ac:dyDescent="0.25">
      <c r="N1333" s="74"/>
    </row>
    <row r="1334" spans="14:14" x14ac:dyDescent="0.25">
      <c r="N1334" s="74"/>
    </row>
    <row r="1335" spans="14:14" x14ac:dyDescent="0.25">
      <c r="N1335" s="74"/>
    </row>
    <row r="1336" spans="14:14" x14ac:dyDescent="0.25">
      <c r="N1336" s="74"/>
    </row>
    <row r="1337" spans="14:14" x14ac:dyDescent="0.25">
      <c r="N1337" s="74"/>
    </row>
    <row r="1338" spans="14:14" x14ac:dyDescent="0.25">
      <c r="N1338" s="74"/>
    </row>
    <row r="1339" spans="14:14" x14ac:dyDescent="0.25">
      <c r="N1339" s="74"/>
    </row>
    <row r="1340" spans="14:14" x14ac:dyDescent="0.25">
      <c r="N1340" s="74"/>
    </row>
    <row r="1341" spans="14:14" x14ac:dyDescent="0.25">
      <c r="N1341" s="74"/>
    </row>
    <row r="1342" spans="14:14" x14ac:dyDescent="0.25">
      <c r="N1342" s="74"/>
    </row>
    <row r="1343" spans="14:14" x14ac:dyDescent="0.25">
      <c r="N1343" s="74"/>
    </row>
    <row r="1344" spans="14:14" x14ac:dyDescent="0.25">
      <c r="N1344" s="74"/>
    </row>
    <row r="1345" spans="14:14" x14ac:dyDescent="0.25">
      <c r="N1345" s="74"/>
    </row>
    <row r="1346" spans="14:14" x14ac:dyDescent="0.25">
      <c r="N1346" s="74"/>
    </row>
    <row r="1347" spans="14:14" x14ac:dyDescent="0.25">
      <c r="N1347" s="74"/>
    </row>
    <row r="1348" spans="14:14" x14ac:dyDescent="0.25">
      <c r="N1348" s="74"/>
    </row>
    <row r="1349" spans="14:14" x14ac:dyDescent="0.25">
      <c r="N1349" s="74"/>
    </row>
    <row r="1350" spans="14:14" x14ac:dyDescent="0.25">
      <c r="N1350" s="74"/>
    </row>
    <row r="1351" spans="14:14" x14ac:dyDescent="0.25">
      <c r="N1351" s="74"/>
    </row>
    <row r="1352" spans="14:14" x14ac:dyDescent="0.25">
      <c r="N1352" s="74"/>
    </row>
    <row r="1353" spans="14:14" x14ac:dyDescent="0.25">
      <c r="N1353" s="74"/>
    </row>
    <row r="1354" spans="14:14" x14ac:dyDescent="0.25">
      <c r="N1354" s="74"/>
    </row>
    <row r="1355" spans="14:14" x14ac:dyDescent="0.25">
      <c r="N1355" s="74"/>
    </row>
    <row r="1356" spans="14:14" x14ac:dyDescent="0.25">
      <c r="N1356" s="74"/>
    </row>
    <row r="1357" spans="14:14" x14ac:dyDescent="0.25">
      <c r="N1357" s="74"/>
    </row>
    <row r="1358" spans="14:14" x14ac:dyDescent="0.25">
      <c r="N1358" s="74"/>
    </row>
    <row r="1359" spans="14:14" x14ac:dyDescent="0.25">
      <c r="N1359" s="74"/>
    </row>
    <row r="1360" spans="14:14" x14ac:dyDescent="0.25">
      <c r="N1360" s="74"/>
    </row>
    <row r="1361" spans="14:14" x14ac:dyDescent="0.25">
      <c r="N1361" s="74"/>
    </row>
    <row r="1362" spans="14:14" x14ac:dyDescent="0.25">
      <c r="N1362" s="74"/>
    </row>
    <row r="1363" spans="14:14" x14ac:dyDescent="0.25">
      <c r="N1363" s="74"/>
    </row>
    <row r="1364" spans="14:14" x14ac:dyDescent="0.25">
      <c r="N1364" s="74"/>
    </row>
    <row r="1365" spans="14:14" x14ac:dyDescent="0.25">
      <c r="N1365" s="74"/>
    </row>
    <row r="1366" spans="14:14" x14ac:dyDescent="0.25">
      <c r="N1366" s="74"/>
    </row>
    <row r="1367" spans="14:14" x14ac:dyDescent="0.25">
      <c r="N1367" s="74"/>
    </row>
    <row r="1368" spans="14:14" x14ac:dyDescent="0.25">
      <c r="N1368" s="74"/>
    </row>
    <row r="1369" spans="14:14" x14ac:dyDescent="0.25">
      <c r="N1369" s="74"/>
    </row>
    <row r="1370" spans="14:14" x14ac:dyDescent="0.25">
      <c r="N1370" s="74"/>
    </row>
    <row r="1371" spans="14:14" x14ac:dyDescent="0.25">
      <c r="N1371" s="74"/>
    </row>
    <row r="1372" spans="14:14" x14ac:dyDescent="0.25">
      <c r="N1372" s="74"/>
    </row>
    <row r="1373" spans="14:14" x14ac:dyDescent="0.25">
      <c r="N1373" s="74"/>
    </row>
    <row r="1374" spans="14:14" x14ac:dyDescent="0.25">
      <c r="N1374" s="74"/>
    </row>
    <row r="1375" spans="14:14" x14ac:dyDescent="0.25">
      <c r="N1375" s="74"/>
    </row>
    <row r="1376" spans="14:14" x14ac:dyDescent="0.25">
      <c r="N1376" s="74"/>
    </row>
    <row r="1377" spans="14:14" x14ac:dyDescent="0.25">
      <c r="N1377" s="74"/>
    </row>
    <row r="1378" spans="14:14" x14ac:dyDescent="0.25">
      <c r="N1378" s="74"/>
    </row>
    <row r="1379" spans="14:14" x14ac:dyDescent="0.25">
      <c r="N1379" s="74"/>
    </row>
    <row r="1380" spans="14:14" x14ac:dyDescent="0.25">
      <c r="N1380" s="74"/>
    </row>
    <row r="1381" spans="14:14" x14ac:dyDescent="0.25">
      <c r="N1381" s="74"/>
    </row>
    <row r="1382" spans="14:14" x14ac:dyDescent="0.25">
      <c r="N1382" s="74"/>
    </row>
    <row r="1383" spans="14:14" x14ac:dyDescent="0.25">
      <c r="N1383" s="74"/>
    </row>
    <row r="1384" spans="14:14" x14ac:dyDescent="0.25">
      <c r="N1384" s="74"/>
    </row>
    <row r="1385" spans="14:14" x14ac:dyDescent="0.25">
      <c r="N1385" s="74"/>
    </row>
    <row r="1386" spans="14:14" x14ac:dyDescent="0.25">
      <c r="N1386" s="74"/>
    </row>
    <row r="1387" spans="14:14" x14ac:dyDescent="0.25">
      <c r="N1387" s="74"/>
    </row>
    <row r="1388" spans="14:14" x14ac:dyDescent="0.25">
      <c r="N1388" s="74"/>
    </row>
    <row r="1389" spans="14:14" x14ac:dyDescent="0.25">
      <c r="N1389" s="74"/>
    </row>
    <row r="1390" spans="14:14" x14ac:dyDescent="0.25">
      <c r="N1390" s="74"/>
    </row>
    <row r="1391" spans="14:14" x14ac:dyDescent="0.25">
      <c r="N1391" s="74"/>
    </row>
    <row r="1392" spans="14:14" x14ac:dyDescent="0.25">
      <c r="N1392" s="74"/>
    </row>
    <row r="1393" spans="14:14" x14ac:dyDescent="0.25">
      <c r="N1393" s="74"/>
    </row>
    <row r="1394" spans="14:14" x14ac:dyDescent="0.25">
      <c r="N1394" s="74"/>
    </row>
    <row r="1395" spans="14:14" x14ac:dyDescent="0.25">
      <c r="N1395" s="74"/>
    </row>
    <row r="1396" spans="14:14" x14ac:dyDescent="0.25">
      <c r="N1396" s="74"/>
    </row>
    <row r="1397" spans="14:14" x14ac:dyDescent="0.25">
      <c r="N1397" s="74"/>
    </row>
    <row r="1398" spans="14:14" x14ac:dyDescent="0.25">
      <c r="N1398" s="74"/>
    </row>
    <row r="1399" spans="14:14" x14ac:dyDescent="0.25">
      <c r="N1399" s="74"/>
    </row>
    <row r="1400" spans="14:14" x14ac:dyDescent="0.25">
      <c r="N1400" s="74"/>
    </row>
    <row r="1401" spans="14:14" x14ac:dyDescent="0.25">
      <c r="N1401" s="74"/>
    </row>
    <row r="1402" spans="14:14" x14ac:dyDescent="0.25">
      <c r="N1402" s="74"/>
    </row>
    <row r="1403" spans="14:14" x14ac:dyDescent="0.25">
      <c r="N1403" s="74"/>
    </row>
    <row r="1404" spans="14:14" x14ac:dyDescent="0.25">
      <c r="N1404" s="74"/>
    </row>
    <row r="1405" spans="14:14" x14ac:dyDescent="0.25">
      <c r="N1405" s="74"/>
    </row>
    <row r="1406" spans="14:14" x14ac:dyDescent="0.25">
      <c r="N1406" s="74"/>
    </row>
    <row r="1407" spans="14:14" x14ac:dyDescent="0.25">
      <c r="N1407" s="74"/>
    </row>
    <row r="1408" spans="14:14" x14ac:dyDescent="0.25">
      <c r="N1408" s="74"/>
    </row>
    <row r="1409" spans="14:14" x14ac:dyDescent="0.25">
      <c r="N1409" s="74"/>
    </row>
    <row r="1410" spans="14:14" x14ac:dyDescent="0.25">
      <c r="N1410" s="74"/>
    </row>
    <row r="1411" spans="14:14" x14ac:dyDescent="0.25">
      <c r="N1411" s="74"/>
    </row>
    <row r="1412" spans="14:14" x14ac:dyDescent="0.25">
      <c r="N1412" s="74"/>
    </row>
    <row r="1413" spans="14:14" x14ac:dyDescent="0.25">
      <c r="N1413" s="74"/>
    </row>
    <row r="1414" spans="14:14" x14ac:dyDescent="0.25">
      <c r="N1414" s="74"/>
    </row>
    <row r="1415" spans="14:14" x14ac:dyDescent="0.25">
      <c r="N1415" s="74"/>
    </row>
    <row r="1416" spans="14:14" x14ac:dyDescent="0.25">
      <c r="N1416" s="74"/>
    </row>
    <row r="1417" spans="14:14" x14ac:dyDescent="0.25">
      <c r="N1417" s="74"/>
    </row>
    <row r="1418" spans="14:14" x14ac:dyDescent="0.25">
      <c r="N1418" s="74"/>
    </row>
    <row r="1419" spans="14:14" x14ac:dyDescent="0.25">
      <c r="N1419" s="74"/>
    </row>
    <row r="1420" spans="14:14" x14ac:dyDescent="0.25">
      <c r="N1420" s="74"/>
    </row>
    <row r="1421" spans="14:14" x14ac:dyDescent="0.25">
      <c r="N1421" s="74"/>
    </row>
    <row r="1422" spans="14:14" x14ac:dyDescent="0.25">
      <c r="N1422" s="74"/>
    </row>
    <row r="1423" spans="14:14" x14ac:dyDescent="0.25">
      <c r="N1423" s="74"/>
    </row>
    <row r="1424" spans="14:14" x14ac:dyDescent="0.25">
      <c r="N1424" s="74"/>
    </row>
    <row r="1425" spans="14:14" x14ac:dyDescent="0.25">
      <c r="N1425" s="74"/>
    </row>
    <row r="1426" spans="14:14" x14ac:dyDescent="0.25">
      <c r="N1426" s="74"/>
    </row>
    <row r="1427" spans="14:14" x14ac:dyDescent="0.25">
      <c r="N1427" s="74"/>
    </row>
    <row r="1428" spans="14:14" x14ac:dyDescent="0.25">
      <c r="N1428" s="74"/>
    </row>
    <row r="1429" spans="14:14" x14ac:dyDescent="0.25">
      <c r="N1429" s="74"/>
    </row>
    <row r="1430" spans="14:14" x14ac:dyDescent="0.25">
      <c r="N1430" s="74"/>
    </row>
    <row r="1431" spans="14:14" x14ac:dyDescent="0.25">
      <c r="N1431" s="74"/>
    </row>
    <row r="1432" spans="14:14" x14ac:dyDescent="0.25">
      <c r="N1432" s="74"/>
    </row>
    <row r="1433" spans="14:14" x14ac:dyDescent="0.25">
      <c r="N1433" s="74"/>
    </row>
    <row r="1434" spans="14:14" x14ac:dyDescent="0.25">
      <c r="N1434" s="74"/>
    </row>
    <row r="1435" spans="14:14" x14ac:dyDescent="0.25">
      <c r="N1435" s="74"/>
    </row>
    <row r="1436" spans="14:14" x14ac:dyDescent="0.25">
      <c r="N1436" s="74"/>
    </row>
    <row r="1437" spans="14:14" x14ac:dyDescent="0.25">
      <c r="N1437" s="74"/>
    </row>
    <row r="1438" spans="14:14" x14ac:dyDescent="0.25">
      <c r="N1438" s="74"/>
    </row>
    <row r="1439" spans="14:14" x14ac:dyDescent="0.25">
      <c r="N1439" s="74"/>
    </row>
    <row r="1440" spans="14:14" x14ac:dyDescent="0.25">
      <c r="N1440" s="74"/>
    </row>
    <row r="1441" spans="14:14" x14ac:dyDescent="0.25">
      <c r="N1441" s="74"/>
    </row>
    <row r="1442" spans="14:14" x14ac:dyDescent="0.25">
      <c r="N1442" s="74"/>
    </row>
    <row r="1443" spans="14:14" x14ac:dyDescent="0.25">
      <c r="N1443" s="74"/>
    </row>
    <row r="1444" spans="14:14" x14ac:dyDescent="0.25">
      <c r="N1444" s="74"/>
    </row>
    <row r="1445" spans="14:14" x14ac:dyDescent="0.25">
      <c r="N1445" s="74"/>
    </row>
    <row r="1446" spans="14:14" x14ac:dyDescent="0.25">
      <c r="N1446" s="74"/>
    </row>
    <row r="1447" spans="14:14" x14ac:dyDescent="0.25">
      <c r="N1447" s="74"/>
    </row>
    <row r="1448" spans="14:14" x14ac:dyDescent="0.25">
      <c r="N1448" s="74"/>
    </row>
    <row r="1449" spans="14:14" x14ac:dyDescent="0.25">
      <c r="N1449" s="74"/>
    </row>
    <row r="1450" spans="14:14" x14ac:dyDescent="0.25">
      <c r="N1450" s="74"/>
    </row>
    <row r="1451" spans="14:14" x14ac:dyDescent="0.25">
      <c r="N1451" s="74"/>
    </row>
    <row r="1452" spans="14:14" x14ac:dyDescent="0.25">
      <c r="N1452" s="74"/>
    </row>
    <row r="1453" spans="14:14" x14ac:dyDescent="0.25">
      <c r="N1453" s="74"/>
    </row>
    <row r="1454" spans="14:14" x14ac:dyDescent="0.25">
      <c r="N1454" s="74"/>
    </row>
    <row r="1455" spans="14:14" x14ac:dyDescent="0.25">
      <c r="N1455" s="74"/>
    </row>
    <row r="1456" spans="14:14" x14ac:dyDescent="0.25">
      <c r="N1456" s="74"/>
    </row>
    <row r="1457" spans="14:14" x14ac:dyDescent="0.25">
      <c r="N1457" s="74"/>
    </row>
    <row r="1458" spans="14:14" x14ac:dyDescent="0.25">
      <c r="N1458" s="74"/>
    </row>
    <row r="1459" spans="14:14" x14ac:dyDescent="0.25">
      <c r="N1459" s="74"/>
    </row>
    <row r="1460" spans="14:14" x14ac:dyDescent="0.25">
      <c r="N1460" s="74"/>
    </row>
    <row r="1461" spans="14:14" x14ac:dyDescent="0.25">
      <c r="N1461" s="74"/>
    </row>
    <row r="1462" spans="14:14" x14ac:dyDescent="0.25">
      <c r="N1462" s="74"/>
    </row>
    <row r="1463" spans="14:14" x14ac:dyDescent="0.25">
      <c r="N1463" s="74"/>
    </row>
    <row r="1464" spans="14:14" x14ac:dyDescent="0.25">
      <c r="N1464" s="74"/>
    </row>
    <row r="1465" spans="14:14" x14ac:dyDescent="0.25">
      <c r="N1465" s="74"/>
    </row>
    <row r="1466" spans="14:14" x14ac:dyDescent="0.25">
      <c r="N1466" s="74"/>
    </row>
    <row r="1467" spans="14:14" x14ac:dyDescent="0.25">
      <c r="N1467" s="74"/>
    </row>
    <row r="1468" spans="14:14" x14ac:dyDescent="0.25">
      <c r="N1468" s="74"/>
    </row>
    <row r="1469" spans="14:14" x14ac:dyDescent="0.25">
      <c r="N1469" s="74"/>
    </row>
    <row r="1470" spans="14:14" x14ac:dyDescent="0.25">
      <c r="N1470" s="74"/>
    </row>
    <row r="1471" spans="14:14" x14ac:dyDescent="0.25">
      <c r="N1471" s="74"/>
    </row>
    <row r="1472" spans="14:14" x14ac:dyDescent="0.25">
      <c r="N1472" s="74"/>
    </row>
    <row r="1473" spans="14:14" x14ac:dyDescent="0.25">
      <c r="N1473" s="74"/>
    </row>
    <row r="1474" spans="14:14" x14ac:dyDescent="0.25">
      <c r="N1474" s="74"/>
    </row>
    <row r="1475" spans="14:14" x14ac:dyDescent="0.25">
      <c r="N1475" s="74"/>
    </row>
    <row r="1476" spans="14:14" x14ac:dyDescent="0.25">
      <c r="N1476" s="74"/>
    </row>
    <row r="1477" spans="14:14" x14ac:dyDescent="0.25">
      <c r="N1477" s="74"/>
    </row>
    <row r="1478" spans="14:14" x14ac:dyDescent="0.25">
      <c r="N1478" s="74"/>
    </row>
    <row r="1479" spans="14:14" x14ac:dyDescent="0.25">
      <c r="N1479" s="74"/>
    </row>
    <row r="1480" spans="14:14" x14ac:dyDescent="0.25">
      <c r="N1480" s="74"/>
    </row>
    <row r="1481" spans="14:14" x14ac:dyDescent="0.25">
      <c r="N1481" s="74"/>
    </row>
    <row r="1482" spans="14:14" x14ac:dyDescent="0.25">
      <c r="N1482" s="74"/>
    </row>
    <row r="1483" spans="14:14" x14ac:dyDescent="0.25">
      <c r="N1483" s="74"/>
    </row>
    <row r="1484" spans="14:14" x14ac:dyDescent="0.25">
      <c r="N1484" s="74"/>
    </row>
    <row r="1485" spans="14:14" x14ac:dyDescent="0.25">
      <c r="N1485" s="74"/>
    </row>
    <row r="1486" spans="14:14" x14ac:dyDescent="0.25">
      <c r="N1486" s="74"/>
    </row>
    <row r="1487" spans="14:14" x14ac:dyDescent="0.25">
      <c r="N1487" s="74"/>
    </row>
    <row r="1488" spans="14:14" x14ac:dyDescent="0.25">
      <c r="N1488" s="74"/>
    </row>
    <row r="1489" spans="14:14" x14ac:dyDescent="0.25">
      <c r="N1489" s="74"/>
    </row>
    <row r="1490" spans="14:14" x14ac:dyDescent="0.25">
      <c r="N1490" s="74"/>
    </row>
    <row r="1491" spans="14:14" x14ac:dyDescent="0.25">
      <c r="N1491" s="74"/>
    </row>
    <row r="1492" spans="14:14" x14ac:dyDescent="0.25">
      <c r="N1492" s="74"/>
    </row>
    <row r="1493" spans="14:14" x14ac:dyDescent="0.25">
      <c r="N1493" s="74"/>
    </row>
    <row r="1494" spans="14:14" x14ac:dyDescent="0.25">
      <c r="N1494" s="74"/>
    </row>
    <row r="1495" spans="14:14" x14ac:dyDescent="0.25">
      <c r="N1495" s="74"/>
    </row>
    <row r="1496" spans="14:14" x14ac:dyDescent="0.25">
      <c r="N1496" s="74"/>
    </row>
    <row r="1497" spans="14:14" x14ac:dyDescent="0.25">
      <c r="N1497" s="74"/>
    </row>
    <row r="1498" spans="14:14" x14ac:dyDescent="0.25">
      <c r="N1498" s="74"/>
    </row>
    <row r="1499" spans="14:14" x14ac:dyDescent="0.25">
      <c r="N1499" s="74"/>
    </row>
    <row r="1500" spans="14:14" x14ac:dyDescent="0.25">
      <c r="N1500" s="74"/>
    </row>
    <row r="1501" spans="14:14" x14ac:dyDescent="0.25">
      <c r="N1501" s="74"/>
    </row>
    <row r="1502" spans="14:14" x14ac:dyDescent="0.25">
      <c r="N1502" s="74"/>
    </row>
    <row r="1503" spans="14:14" x14ac:dyDescent="0.25">
      <c r="N1503" s="74"/>
    </row>
    <row r="1504" spans="14:14" x14ac:dyDescent="0.25">
      <c r="N1504" s="74"/>
    </row>
    <row r="1505" spans="14:14" x14ac:dyDescent="0.25">
      <c r="N1505" s="74"/>
    </row>
    <row r="1506" spans="14:14" x14ac:dyDescent="0.25">
      <c r="N1506" s="74"/>
    </row>
    <row r="1507" spans="14:14" x14ac:dyDescent="0.25">
      <c r="N1507" s="74"/>
    </row>
    <row r="1508" spans="14:14" x14ac:dyDescent="0.25">
      <c r="N1508" s="74"/>
    </row>
    <row r="1509" spans="14:14" x14ac:dyDescent="0.25">
      <c r="N1509" s="74"/>
    </row>
    <row r="1510" spans="14:14" x14ac:dyDescent="0.25">
      <c r="N1510" s="74"/>
    </row>
    <row r="1511" spans="14:14" x14ac:dyDescent="0.25">
      <c r="N1511" s="74"/>
    </row>
    <row r="1512" spans="14:14" x14ac:dyDescent="0.25">
      <c r="N1512" s="74"/>
    </row>
    <row r="1513" spans="14:14" x14ac:dyDescent="0.25">
      <c r="N1513" s="74"/>
    </row>
    <row r="1514" spans="14:14" x14ac:dyDescent="0.25">
      <c r="N1514" s="74"/>
    </row>
    <row r="1515" spans="14:14" x14ac:dyDescent="0.25">
      <c r="N1515" s="74"/>
    </row>
    <row r="1516" spans="14:14" x14ac:dyDescent="0.25">
      <c r="N1516" s="74"/>
    </row>
    <row r="1517" spans="14:14" x14ac:dyDescent="0.25">
      <c r="N1517" s="74"/>
    </row>
    <row r="1518" spans="14:14" x14ac:dyDescent="0.25">
      <c r="N1518" s="74"/>
    </row>
    <row r="1519" spans="14:14" x14ac:dyDescent="0.25">
      <c r="N1519" s="74"/>
    </row>
    <row r="1520" spans="14:14" x14ac:dyDescent="0.25">
      <c r="N1520" s="74"/>
    </row>
    <row r="1521" spans="14:14" x14ac:dyDescent="0.25">
      <c r="N1521" s="74"/>
    </row>
    <row r="1522" spans="14:14" x14ac:dyDescent="0.25">
      <c r="N1522" s="74"/>
    </row>
    <row r="1523" spans="14:14" x14ac:dyDescent="0.25">
      <c r="N1523" s="74"/>
    </row>
    <row r="1524" spans="14:14" x14ac:dyDescent="0.25">
      <c r="N1524" s="74"/>
    </row>
    <row r="1525" spans="14:14" x14ac:dyDescent="0.25">
      <c r="N1525" s="74"/>
    </row>
    <row r="1526" spans="14:14" x14ac:dyDescent="0.25">
      <c r="N1526" s="74"/>
    </row>
    <row r="1527" spans="14:14" x14ac:dyDescent="0.25">
      <c r="N1527" s="74"/>
    </row>
    <row r="1528" spans="14:14" x14ac:dyDescent="0.25">
      <c r="N1528" s="74"/>
    </row>
    <row r="1529" spans="14:14" x14ac:dyDescent="0.25">
      <c r="N1529" s="74"/>
    </row>
    <row r="1530" spans="14:14" x14ac:dyDescent="0.25">
      <c r="N1530" s="74"/>
    </row>
    <row r="1531" spans="14:14" x14ac:dyDescent="0.25">
      <c r="N1531" s="74"/>
    </row>
    <row r="1532" spans="14:14" x14ac:dyDescent="0.25">
      <c r="N1532" s="74"/>
    </row>
    <row r="1533" spans="14:14" x14ac:dyDescent="0.25">
      <c r="N1533" s="74"/>
    </row>
    <row r="1534" spans="14:14" x14ac:dyDescent="0.25">
      <c r="N1534" s="74"/>
    </row>
    <row r="1535" spans="14:14" x14ac:dyDescent="0.25">
      <c r="N1535" s="74"/>
    </row>
    <row r="1536" spans="14:14" x14ac:dyDescent="0.25">
      <c r="N1536" s="74"/>
    </row>
    <row r="1537" spans="14:14" x14ac:dyDescent="0.25">
      <c r="N1537" s="74"/>
    </row>
    <row r="1538" spans="14:14" x14ac:dyDescent="0.25">
      <c r="N1538" s="74"/>
    </row>
    <row r="1539" spans="14:14" x14ac:dyDescent="0.25">
      <c r="N1539" s="74"/>
    </row>
    <row r="1540" spans="14:14" x14ac:dyDescent="0.25">
      <c r="N1540" s="74"/>
    </row>
    <row r="1541" spans="14:14" x14ac:dyDescent="0.25">
      <c r="N1541" s="74"/>
    </row>
    <row r="1542" spans="14:14" x14ac:dyDescent="0.25">
      <c r="N1542" s="74"/>
    </row>
    <row r="1543" spans="14:14" x14ac:dyDescent="0.25">
      <c r="N1543" s="74"/>
    </row>
    <row r="1544" spans="14:14" x14ac:dyDescent="0.25">
      <c r="N1544" s="74"/>
    </row>
    <row r="1545" spans="14:14" x14ac:dyDescent="0.25">
      <c r="N1545" s="74"/>
    </row>
    <row r="1546" spans="14:14" x14ac:dyDescent="0.25">
      <c r="N1546" s="74"/>
    </row>
    <row r="1547" spans="14:14" x14ac:dyDescent="0.25">
      <c r="N1547" s="74"/>
    </row>
    <row r="1548" spans="14:14" x14ac:dyDescent="0.25">
      <c r="N1548" s="74"/>
    </row>
    <row r="1549" spans="14:14" x14ac:dyDescent="0.25">
      <c r="N1549" s="74"/>
    </row>
    <row r="1550" spans="14:14" x14ac:dyDescent="0.25">
      <c r="N1550" s="74"/>
    </row>
    <row r="1551" spans="14:14" x14ac:dyDescent="0.25">
      <c r="N1551" s="74"/>
    </row>
    <row r="1552" spans="14:14" x14ac:dyDescent="0.25">
      <c r="N1552" s="74"/>
    </row>
    <row r="1553" spans="14:14" x14ac:dyDescent="0.25">
      <c r="N1553" s="74"/>
    </row>
    <row r="1554" spans="14:14" x14ac:dyDescent="0.25">
      <c r="N1554" s="74"/>
    </row>
    <row r="1555" spans="14:14" x14ac:dyDescent="0.25">
      <c r="N1555" s="74"/>
    </row>
    <row r="1556" spans="14:14" x14ac:dyDescent="0.25">
      <c r="N1556" s="74"/>
    </row>
    <row r="1557" spans="14:14" x14ac:dyDescent="0.25">
      <c r="N1557" s="74"/>
    </row>
    <row r="1558" spans="14:14" x14ac:dyDescent="0.25">
      <c r="N1558" s="74"/>
    </row>
    <row r="1559" spans="14:14" x14ac:dyDescent="0.25">
      <c r="N1559" s="74"/>
    </row>
    <row r="1560" spans="14:14" x14ac:dyDescent="0.25">
      <c r="N1560" s="74"/>
    </row>
    <row r="1561" spans="14:14" x14ac:dyDescent="0.25">
      <c r="N1561" s="74"/>
    </row>
    <row r="1562" spans="14:14" x14ac:dyDescent="0.25">
      <c r="N1562" s="74"/>
    </row>
    <row r="1563" spans="14:14" x14ac:dyDescent="0.25">
      <c r="N1563" s="74"/>
    </row>
    <row r="1564" spans="14:14" x14ac:dyDescent="0.25">
      <c r="N1564" s="74"/>
    </row>
    <row r="1565" spans="14:14" x14ac:dyDescent="0.25">
      <c r="N1565" s="74"/>
    </row>
    <row r="1566" spans="14:14" x14ac:dyDescent="0.25">
      <c r="N1566" s="74"/>
    </row>
    <row r="1567" spans="14:14" x14ac:dyDescent="0.25">
      <c r="N1567" s="74"/>
    </row>
    <row r="1568" spans="14:14" x14ac:dyDescent="0.25">
      <c r="N1568" s="74"/>
    </row>
    <row r="1569" spans="14:14" x14ac:dyDescent="0.25">
      <c r="N1569" s="74"/>
    </row>
    <row r="1570" spans="14:14" x14ac:dyDescent="0.25">
      <c r="N1570" s="74"/>
    </row>
    <row r="1571" spans="14:14" x14ac:dyDescent="0.25">
      <c r="N1571" s="74"/>
    </row>
    <row r="1572" spans="14:14" x14ac:dyDescent="0.25">
      <c r="N1572" s="74"/>
    </row>
    <row r="1573" spans="14:14" x14ac:dyDescent="0.25">
      <c r="N1573" s="74"/>
    </row>
    <row r="1574" spans="14:14" x14ac:dyDescent="0.25">
      <c r="N1574" s="74"/>
    </row>
    <row r="1575" spans="14:14" x14ac:dyDescent="0.25">
      <c r="N1575" s="74"/>
    </row>
    <row r="1576" spans="14:14" x14ac:dyDescent="0.25">
      <c r="N1576" s="74"/>
    </row>
    <row r="1577" spans="14:14" x14ac:dyDescent="0.25">
      <c r="N1577" s="74"/>
    </row>
    <row r="1578" spans="14:14" x14ac:dyDescent="0.25">
      <c r="N1578" s="74"/>
    </row>
    <row r="1579" spans="14:14" x14ac:dyDescent="0.25">
      <c r="N1579" s="74"/>
    </row>
    <row r="1580" spans="14:14" x14ac:dyDescent="0.25">
      <c r="N1580" s="74"/>
    </row>
    <row r="1581" spans="14:14" x14ac:dyDescent="0.25">
      <c r="N1581" s="74"/>
    </row>
    <row r="1582" spans="14:14" x14ac:dyDescent="0.25">
      <c r="N1582" s="74"/>
    </row>
    <row r="1583" spans="14:14" x14ac:dyDescent="0.25">
      <c r="N1583" s="74"/>
    </row>
    <row r="1584" spans="14:14" x14ac:dyDescent="0.25">
      <c r="N1584" s="74"/>
    </row>
    <row r="1585" spans="14:14" x14ac:dyDescent="0.25">
      <c r="N1585" s="74"/>
    </row>
    <row r="1586" spans="14:14" x14ac:dyDescent="0.25">
      <c r="N1586" s="74"/>
    </row>
    <row r="1587" spans="14:14" x14ac:dyDescent="0.25">
      <c r="N1587" s="74"/>
    </row>
    <row r="1588" spans="14:14" x14ac:dyDescent="0.25">
      <c r="N1588" s="74"/>
    </row>
    <row r="1589" spans="14:14" x14ac:dyDescent="0.25">
      <c r="N1589" s="74"/>
    </row>
    <row r="1590" spans="14:14" x14ac:dyDescent="0.25">
      <c r="N1590" s="74"/>
    </row>
    <row r="1591" spans="14:14" x14ac:dyDescent="0.25">
      <c r="N1591" s="74"/>
    </row>
    <row r="1592" spans="14:14" x14ac:dyDescent="0.25">
      <c r="N1592" s="74"/>
    </row>
    <row r="1593" spans="14:14" x14ac:dyDescent="0.25">
      <c r="N1593" s="74"/>
    </row>
    <row r="1594" spans="14:14" x14ac:dyDescent="0.25">
      <c r="N1594" s="74"/>
    </row>
    <row r="1595" spans="14:14" x14ac:dyDescent="0.25">
      <c r="N1595" s="74"/>
    </row>
    <row r="1596" spans="14:14" x14ac:dyDescent="0.25">
      <c r="N1596" s="74"/>
    </row>
    <row r="1597" spans="14:14" x14ac:dyDescent="0.25">
      <c r="N1597" s="74"/>
    </row>
    <row r="1598" spans="14:14" x14ac:dyDescent="0.25">
      <c r="N1598" s="74"/>
    </row>
    <row r="1599" spans="14:14" x14ac:dyDescent="0.25">
      <c r="N1599" s="74"/>
    </row>
    <row r="1600" spans="14:14" x14ac:dyDescent="0.25">
      <c r="N1600" s="74"/>
    </row>
    <row r="1601" spans="14:14" x14ac:dyDescent="0.25">
      <c r="N1601" s="74"/>
    </row>
    <row r="1602" spans="14:14" x14ac:dyDescent="0.25">
      <c r="N1602" s="74"/>
    </row>
    <row r="1603" spans="14:14" x14ac:dyDescent="0.25">
      <c r="N1603" s="74"/>
    </row>
    <row r="1604" spans="14:14" x14ac:dyDescent="0.25">
      <c r="N1604" s="74"/>
    </row>
    <row r="1605" spans="14:14" x14ac:dyDescent="0.25">
      <c r="N1605" s="74"/>
    </row>
    <row r="1606" spans="14:14" x14ac:dyDescent="0.25">
      <c r="N1606" s="74"/>
    </row>
    <row r="1607" spans="14:14" x14ac:dyDescent="0.25">
      <c r="N1607" s="74"/>
    </row>
    <row r="1608" spans="14:14" x14ac:dyDescent="0.25">
      <c r="N1608" s="74"/>
    </row>
    <row r="1609" spans="14:14" x14ac:dyDescent="0.25">
      <c r="N1609" s="74"/>
    </row>
    <row r="1610" spans="14:14" x14ac:dyDescent="0.25">
      <c r="N1610" s="74"/>
    </row>
    <row r="1611" spans="14:14" x14ac:dyDescent="0.25">
      <c r="N1611" s="74"/>
    </row>
    <row r="1612" spans="14:14" x14ac:dyDescent="0.25">
      <c r="N1612" s="74"/>
    </row>
    <row r="1613" spans="14:14" x14ac:dyDescent="0.25">
      <c r="N1613" s="74"/>
    </row>
    <row r="1614" spans="14:14" x14ac:dyDescent="0.25">
      <c r="N1614" s="74"/>
    </row>
    <row r="1615" spans="14:14" x14ac:dyDescent="0.25">
      <c r="N1615" s="74"/>
    </row>
    <row r="1616" spans="14:14" x14ac:dyDescent="0.25">
      <c r="N1616" s="74"/>
    </row>
    <row r="1617" spans="14:14" x14ac:dyDescent="0.25">
      <c r="N1617" s="74"/>
    </row>
    <row r="1618" spans="14:14" x14ac:dyDescent="0.25">
      <c r="N1618" s="74"/>
    </row>
    <row r="1619" spans="14:14" x14ac:dyDescent="0.25">
      <c r="N1619" s="74"/>
    </row>
    <row r="1620" spans="14:14" x14ac:dyDescent="0.25">
      <c r="N1620" s="74"/>
    </row>
    <row r="1621" spans="14:14" x14ac:dyDescent="0.25">
      <c r="N1621" s="74"/>
    </row>
    <row r="1622" spans="14:14" x14ac:dyDescent="0.25">
      <c r="N1622" s="74"/>
    </row>
    <row r="1623" spans="14:14" x14ac:dyDescent="0.25">
      <c r="N1623" s="74"/>
    </row>
    <row r="1624" spans="14:14" x14ac:dyDescent="0.25">
      <c r="N1624" s="74"/>
    </row>
    <row r="1625" spans="14:14" x14ac:dyDescent="0.25">
      <c r="N1625" s="74"/>
    </row>
    <row r="1626" spans="14:14" x14ac:dyDescent="0.25">
      <c r="N1626" s="74"/>
    </row>
    <row r="1627" spans="14:14" x14ac:dyDescent="0.25">
      <c r="N1627" s="74"/>
    </row>
    <row r="1628" spans="14:14" x14ac:dyDescent="0.25">
      <c r="N1628" s="74"/>
    </row>
    <row r="1629" spans="14:14" x14ac:dyDescent="0.25">
      <c r="N1629" s="74"/>
    </row>
    <row r="1630" spans="14:14" x14ac:dyDescent="0.25">
      <c r="N1630" s="74"/>
    </row>
    <row r="1631" spans="14:14" x14ac:dyDescent="0.25">
      <c r="N1631" s="74"/>
    </row>
    <row r="1632" spans="14:14" x14ac:dyDescent="0.25">
      <c r="N1632" s="74"/>
    </row>
    <row r="1633" spans="14:14" x14ac:dyDescent="0.25">
      <c r="N1633" s="74"/>
    </row>
    <row r="1634" spans="14:14" x14ac:dyDescent="0.25">
      <c r="N1634" s="74"/>
    </row>
    <row r="1635" spans="14:14" x14ac:dyDescent="0.25">
      <c r="N1635" s="74"/>
    </row>
    <row r="1636" spans="14:14" x14ac:dyDescent="0.25">
      <c r="N1636" s="74"/>
    </row>
    <row r="1637" spans="14:14" x14ac:dyDescent="0.25">
      <c r="N1637" s="74"/>
    </row>
    <row r="1638" spans="14:14" x14ac:dyDescent="0.25">
      <c r="N1638" s="74"/>
    </row>
    <row r="1639" spans="14:14" x14ac:dyDescent="0.25">
      <c r="N1639" s="74"/>
    </row>
    <row r="1640" spans="14:14" x14ac:dyDescent="0.25">
      <c r="N1640" s="74"/>
    </row>
    <row r="1641" spans="14:14" x14ac:dyDescent="0.25">
      <c r="N1641" s="74"/>
    </row>
    <row r="1642" spans="14:14" x14ac:dyDescent="0.25">
      <c r="N1642" s="74"/>
    </row>
    <row r="1643" spans="14:14" x14ac:dyDescent="0.25">
      <c r="N1643" s="74"/>
    </row>
    <row r="1644" spans="14:14" x14ac:dyDescent="0.25">
      <c r="N1644" s="74"/>
    </row>
    <row r="1645" spans="14:14" x14ac:dyDescent="0.25">
      <c r="N1645" s="74"/>
    </row>
    <row r="1646" spans="14:14" x14ac:dyDescent="0.25">
      <c r="N1646" s="74"/>
    </row>
    <row r="1647" spans="14:14" x14ac:dyDescent="0.25">
      <c r="N1647" s="74"/>
    </row>
    <row r="1648" spans="14:14" x14ac:dyDescent="0.25">
      <c r="N1648" s="74"/>
    </row>
    <row r="1649" spans="14:14" x14ac:dyDescent="0.25">
      <c r="N1649" s="74"/>
    </row>
    <row r="1650" spans="14:14" x14ac:dyDescent="0.25">
      <c r="N1650" s="74"/>
    </row>
    <row r="1651" spans="14:14" x14ac:dyDescent="0.25">
      <c r="N1651" s="74"/>
    </row>
    <row r="1652" spans="14:14" x14ac:dyDescent="0.25">
      <c r="N1652" s="74"/>
    </row>
    <row r="1653" spans="14:14" x14ac:dyDescent="0.25">
      <c r="N1653" s="74"/>
    </row>
    <row r="1654" spans="14:14" x14ac:dyDescent="0.25">
      <c r="N1654" s="74"/>
    </row>
    <row r="1655" spans="14:14" x14ac:dyDescent="0.25">
      <c r="N1655" s="74"/>
    </row>
    <row r="1656" spans="14:14" x14ac:dyDescent="0.25">
      <c r="N1656" s="74"/>
    </row>
    <row r="1657" spans="14:14" x14ac:dyDescent="0.25">
      <c r="N1657" s="74"/>
    </row>
    <row r="1658" spans="14:14" x14ac:dyDescent="0.25">
      <c r="N1658" s="74"/>
    </row>
    <row r="1659" spans="14:14" x14ac:dyDescent="0.25">
      <c r="N1659" s="74"/>
    </row>
    <row r="1660" spans="14:14" x14ac:dyDescent="0.25">
      <c r="N1660" s="74"/>
    </row>
    <row r="1661" spans="14:14" x14ac:dyDescent="0.25">
      <c r="N1661" s="74"/>
    </row>
    <row r="1662" spans="14:14" x14ac:dyDescent="0.25">
      <c r="N1662" s="74"/>
    </row>
    <row r="1663" spans="14:14" x14ac:dyDescent="0.25">
      <c r="N1663" s="74"/>
    </row>
    <row r="1664" spans="14:14" x14ac:dyDescent="0.25">
      <c r="N1664" s="74"/>
    </row>
    <row r="1665" spans="14:14" x14ac:dyDescent="0.25">
      <c r="N1665" s="74"/>
    </row>
    <row r="1666" spans="14:14" x14ac:dyDescent="0.25">
      <c r="N1666" s="74"/>
    </row>
    <row r="1667" spans="14:14" x14ac:dyDescent="0.25">
      <c r="N1667" s="74"/>
    </row>
    <row r="1668" spans="14:14" x14ac:dyDescent="0.25">
      <c r="N1668" s="74"/>
    </row>
    <row r="1669" spans="14:14" x14ac:dyDescent="0.25">
      <c r="N1669" s="74"/>
    </row>
    <row r="1670" spans="14:14" x14ac:dyDescent="0.25">
      <c r="N1670" s="74"/>
    </row>
    <row r="1671" spans="14:14" x14ac:dyDescent="0.25">
      <c r="N1671" s="74"/>
    </row>
    <row r="1672" spans="14:14" x14ac:dyDescent="0.25">
      <c r="N1672" s="74"/>
    </row>
    <row r="1673" spans="14:14" x14ac:dyDescent="0.25">
      <c r="N1673" s="74"/>
    </row>
    <row r="1674" spans="14:14" x14ac:dyDescent="0.25">
      <c r="N1674" s="74"/>
    </row>
    <row r="1675" spans="14:14" x14ac:dyDescent="0.25">
      <c r="N1675" s="74"/>
    </row>
    <row r="1676" spans="14:14" x14ac:dyDescent="0.25">
      <c r="N1676" s="74"/>
    </row>
    <row r="1677" spans="14:14" x14ac:dyDescent="0.25">
      <c r="N1677" s="74"/>
    </row>
    <row r="1678" spans="14:14" x14ac:dyDescent="0.25">
      <c r="N1678" s="74"/>
    </row>
    <row r="1679" spans="14:14" x14ac:dyDescent="0.25">
      <c r="N1679" s="74"/>
    </row>
    <row r="1680" spans="14:14" x14ac:dyDescent="0.25">
      <c r="N1680" s="74"/>
    </row>
    <row r="1681" spans="14:14" x14ac:dyDescent="0.25">
      <c r="N1681" s="74"/>
    </row>
    <row r="1682" spans="14:14" x14ac:dyDescent="0.25">
      <c r="N1682" s="74"/>
    </row>
    <row r="1683" spans="14:14" x14ac:dyDescent="0.25">
      <c r="N1683" s="74"/>
    </row>
    <row r="1684" spans="14:14" x14ac:dyDescent="0.25">
      <c r="N1684" s="74"/>
    </row>
    <row r="1685" spans="14:14" x14ac:dyDescent="0.25">
      <c r="N1685" s="74"/>
    </row>
    <row r="1686" spans="14:14" x14ac:dyDescent="0.25">
      <c r="N1686" s="74"/>
    </row>
    <row r="1687" spans="14:14" x14ac:dyDescent="0.25">
      <c r="N1687" s="74"/>
    </row>
    <row r="1688" spans="14:14" x14ac:dyDescent="0.25">
      <c r="N1688" s="74"/>
    </row>
    <row r="1689" spans="14:14" x14ac:dyDescent="0.25">
      <c r="N1689" s="74"/>
    </row>
    <row r="1690" spans="14:14" x14ac:dyDescent="0.25">
      <c r="N1690" s="74"/>
    </row>
    <row r="1691" spans="14:14" x14ac:dyDescent="0.25">
      <c r="N1691" s="74"/>
    </row>
    <row r="1692" spans="14:14" x14ac:dyDescent="0.25">
      <c r="N1692" s="74"/>
    </row>
    <row r="1693" spans="14:14" x14ac:dyDescent="0.25">
      <c r="N1693" s="74"/>
    </row>
    <row r="1694" spans="14:14" x14ac:dyDescent="0.25">
      <c r="N1694" s="74"/>
    </row>
    <row r="1695" spans="14:14" x14ac:dyDescent="0.25">
      <c r="N1695" s="74"/>
    </row>
    <row r="1696" spans="14:14" x14ac:dyDescent="0.25">
      <c r="N1696" s="74"/>
    </row>
    <row r="1697" spans="14:14" x14ac:dyDescent="0.25">
      <c r="N1697" s="74"/>
    </row>
    <row r="1698" spans="14:14" x14ac:dyDescent="0.25">
      <c r="N1698" s="74"/>
    </row>
    <row r="1699" spans="14:14" x14ac:dyDescent="0.25">
      <c r="N1699" s="74"/>
    </row>
    <row r="1700" spans="14:14" x14ac:dyDescent="0.25">
      <c r="N1700" s="74"/>
    </row>
    <row r="1701" spans="14:14" x14ac:dyDescent="0.25">
      <c r="N1701" s="74"/>
    </row>
    <row r="1702" spans="14:14" x14ac:dyDescent="0.25">
      <c r="N1702" s="74"/>
    </row>
    <row r="1703" spans="14:14" x14ac:dyDescent="0.25">
      <c r="N1703" s="74"/>
    </row>
    <row r="1704" spans="14:14" x14ac:dyDescent="0.25">
      <c r="N1704" s="74"/>
    </row>
    <row r="1705" spans="14:14" x14ac:dyDescent="0.25">
      <c r="N1705" s="74"/>
    </row>
    <row r="1706" spans="14:14" x14ac:dyDescent="0.25">
      <c r="N1706" s="74"/>
    </row>
    <row r="1707" spans="14:14" x14ac:dyDescent="0.25">
      <c r="N1707" s="74"/>
    </row>
    <row r="1708" spans="14:14" x14ac:dyDescent="0.25">
      <c r="N1708" s="74"/>
    </row>
    <row r="1709" spans="14:14" x14ac:dyDescent="0.25">
      <c r="N1709" s="74"/>
    </row>
    <row r="1710" spans="14:14" x14ac:dyDescent="0.25">
      <c r="N1710" s="74"/>
    </row>
    <row r="1711" spans="14:14" x14ac:dyDescent="0.25">
      <c r="N1711" s="74"/>
    </row>
    <row r="1712" spans="14:14" x14ac:dyDescent="0.25">
      <c r="N1712" s="74"/>
    </row>
    <row r="1713" spans="14:14" x14ac:dyDescent="0.25">
      <c r="N1713" s="74"/>
    </row>
    <row r="1714" spans="14:14" x14ac:dyDescent="0.25">
      <c r="N1714" s="74"/>
    </row>
    <row r="1715" spans="14:14" x14ac:dyDescent="0.25">
      <c r="N1715" s="74"/>
    </row>
    <row r="1716" spans="14:14" x14ac:dyDescent="0.25">
      <c r="N1716" s="74"/>
    </row>
    <row r="1717" spans="14:14" x14ac:dyDescent="0.25">
      <c r="N1717" s="74"/>
    </row>
    <row r="1718" spans="14:14" x14ac:dyDescent="0.25">
      <c r="N1718" s="74"/>
    </row>
    <row r="1719" spans="14:14" x14ac:dyDescent="0.25">
      <c r="N1719" s="74"/>
    </row>
    <row r="1720" spans="14:14" x14ac:dyDescent="0.25">
      <c r="N1720" s="74"/>
    </row>
    <row r="1721" spans="14:14" x14ac:dyDescent="0.25">
      <c r="N1721" s="74"/>
    </row>
    <row r="1722" spans="14:14" x14ac:dyDescent="0.25">
      <c r="N1722" s="74"/>
    </row>
    <row r="1723" spans="14:14" x14ac:dyDescent="0.25">
      <c r="N1723" s="74"/>
    </row>
    <row r="1724" spans="14:14" x14ac:dyDescent="0.25">
      <c r="N1724" s="74"/>
    </row>
    <row r="1725" spans="14:14" x14ac:dyDescent="0.25">
      <c r="N1725" s="74"/>
    </row>
    <row r="1726" spans="14:14" x14ac:dyDescent="0.25">
      <c r="N1726" s="74"/>
    </row>
    <row r="1727" spans="14:14" x14ac:dyDescent="0.25">
      <c r="N1727" s="74"/>
    </row>
    <row r="1728" spans="14:14" x14ac:dyDescent="0.25">
      <c r="N1728" s="74"/>
    </row>
    <row r="1729" spans="14:14" x14ac:dyDescent="0.25">
      <c r="N1729" s="74"/>
    </row>
    <row r="1730" spans="14:14" x14ac:dyDescent="0.25">
      <c r="N1730" s="74"/>
    </row>
    <row r="1731" spans="14:14" x14ac:dyDescent="0.25">
      <c r="N1731" s="74"/>
    </row>
    <row r="1732" spans="14:14" x14ac:dyDescent="0.25">
      <c r="N1732" s="74"/>
    </row>
    <row r="1733" spans="14:14" x14ac:dyDescent="0.25">
      <c r="N1733" s="74"/>
    </row>
    <row r="1734" spans="14:14" x14ac:dyDescent="0.25">
      <c r="N1734" s="74"/>
    </row>
    <row r="1735" spans="14:14" x14ac:dyDescent="0.25">
      <c r="N1735" s="74"/>
    </row>
    <row r="1736" spans="14:14" x14ac:dyDescent="0.25">
      <c r="N1736" s="74"/>
    </row>
    <row r="1737" spans="14:14" x14ac:dyDescent="0.25">
      <c r="N1737" s="74"/>
    </row>
    <row r="1738" spans="14:14" x14ac:dyDescent="0.25">
      <c r="N1738" s="74"/>
    </row>
    <row r="1739" spans="14:14" x14ac:dyDescent="0.25">
      <c r="N1739" s="74"/>
    </row>
    <row r="1740" spans="14:14" x14ac:dyDescent="0.25">
      <c r="N1740" s="74"/>
    </row>
    <row r="1741" spans="14:14" x14ac:dyDescent="0.25">
      <c r="N1741" s="74"/>
    </row>
    <row r="1742" spans="14:14" x14ac:dyDescent="0.25">
      <c r="N1742" s="74"/>
    </row>
    <row r="1743" spans="14:14" x14ac:dyDescent="0.25">
      <c r="N1743" s="74"/>
    </row>
    <row r="1744" spans="14:14" x14ac:dyDescent="0.25">
      <c r="N1744" s="74"/>
    </row>
    <row r="1745" spans="14:14" x14ac:dyDescent="0.25">
      <c r="N1745" s="74"/>
    </row>
    <row r="1746" spans="14:14" x14ac:dyDescent="0.25">
      <c r="N1746" s="74"/>
    </row>
    <row r="1747" spans="14:14" x14ac:dyDescent="0.25">
      <c r="N1747" s="74"/>
    </row>
    <row r="1748" spans="14:14" x14ac:dyDescent="0.25">
      <c r="N1748" s="74"/>
    </row>
    <row r="1749" spans="14:14" x14ac:dyDescent="0.25">
      <c r="N1749" s="74"/>
    </row>
    <row r="1750" spans="14:14" x14ac:dyDescent="0.25">
      <c r="N1750" s="74"/>
    </row>
    <row r="1751" spans="14:14" x14ac:dyDescent="0.25">
      <c r="N1751" s="74"/>
    </row>
    <row r="1752" spans="14:14" x14ac:dyDescent="0.25">
      <c r="N1752" s="74"/>
    </row>
    <row r="1753" spans="14:14" x14ac:dyDescent="0.25">
      <c r="N1753" s="74"/>
    </row>
    <row r="1754" spans="14:14" x14ac:dyDescent="0.25">
      <c r="N1754" s="74"/>
    </row>
    <row r="1755" spans="14:14" x14ac:dyDescent="0.25">
      <c r="N1755" s="74"/>
    </row>
    <row r="1756" spans="14:14" x14ac:dyDescent="0.25">
      <c r="N1756" s="74"/>
    </row>
    <row r="1757" spans="14:14" x14ac:dyDescent="0.25">
      <c r="N1757" s="74"/>
    </row>
    <row r="1758" spans="14:14" x14ac:dyDescent="0.25">
      <c r="N1758" s="74"/>
    </row>
    <row r="1759" spans="14:14" x14ac:dyDescent="0.25">
      <c r="N1759" s="74"/>
    </row>
    <row r="1760" spans="14:14" x14ac:dyDescent="0.25">
      <c r="N1760" s="74"/>
    </row>
    <row r="1761" spans="14:14" x14ac:dyDescent="0.25">
      <c r="N1761" s="74"/>
    </row>
    <row r="1762" spans="14:14" x14ac:dyDescent="0.25">
      <c r="N1762" s="74"/>
    </row>
    <row r="1763" spans="14:14" x14ac:dyDescent="0.25">
      <c r="N1763" s="74"/>
    </row>
    <row r="1764" spans="14:14" x14ac:dyDescent="0.25">
      <c r="N1764" s="74"/>
    </row>
    <row r="1765" spans="14:14" x14ac:dyDescent="0.25">
      <c r="N1765" s="74"/>
    </row>
    <row r="1766" spans="14:14" x14ac:dyDescent="0.25">
      <c r="N1766" s="74"/>
    </row>
    <row r="1767" spans="14:14" x14ac:dyDescent="0.25">
      <c r="N1767" s="74"/>
    </row>
    <row r="1768" spans="14:14" x14ac:dyDescent="0.25">
      <c r="N1768" s="74"/>
    </row>
    <row r="1769" spans="14:14" x14ac:dyDescent="0.25">
      <c r="N1769" s="74"/>
    </row>
    <row r="1770" spans="14:14" x14ac:dyDescent="0.25">
      <c r="N1770" s="74"/>
    </row>
    <row r="1771" spans="14:14" x14ac:dyDescent="0.25">
      <c r="N1771" s="74"/>
    </row>
    <row r="1772" spans="14:14" x14ac:dyDescent="0.25">
      <c r="N1772" s="74"/>
    </row>
    <row r="1773" spans="14:14" x14ac:dyDescent="0.25">
      <c r="N1773" s="74"/>
    </row>
    <row r="1774" spans="14:14" x14ac:dyDescent="0.25">
      <c r="N1774" s="74"/>
    </row>
    <row r="1775" spans="14:14" x14ac:dyDescent="0.25">
      <c r="N1775" s="74"/>
    </row>
    <row r="1776" spans="14:14" x14ac:dyDescent="0.25">
      <c r="N1776" s="74"/>
    </row>
    <row r="1777" spans="14:14" x14ac:dyDescent="0.25">
      <c r="N1777" s="74"/>
    </row>
    <row r="1778" spans="14:14" x14ac:dyDescent="0.25">
      <c r="N1778" s="74"/>
    </row>
    <row r="1779" spans="14:14" x14ac:dyDescent="0.25">
      <c r="N1779" s="74"/>
    </row>
    <row r="1780" spans="14:14" x14ac:dyDescent="0.25">
      <c r="N1780" s="74"/>
    </row>
    <row r="1781" spans="14:14" x14ac:dyDescent="0.25">
      <c r="N1781" s="74"/>
    </row>
    <row r="1782" spans="14:14" x14ac:dyDescent="0.25">
      <c r="N1782" s="74"/>
    </row>
    <row r="1783" spans="14:14" x14ac:dyDescent="0.25">
      <c r="N1783" s="74"/>
    </row>
    <row r="1784" spans="14:14" x14ac:dyDescent="0.25">
      <c r="N1784" s="74"/>
    </row>
    <row r="1785" spans="14:14" x14ac:dyDescent="0.25">
      <c r="N1785" s="74"/>
    </row>
    <row r="1786" spans="14:14" x14ac:dyDescent="0.25">
      <c r="N1786" s="74"/>
    </row>
    <row r="1787" spans="14:14" x14ac:dyDescent="0.25">
      <c r="N1787" s="74"/>
    </row>
    <row r="1788" spans="14:14" x14ac:dyDescent="0.25">
      <c r="N1788" s="74"/>
    </row>
    <row r="1789" spans="14:14" x14ac:dyDescent="0.25">
      <c r="N1789" s="74"/>
    </row>
    <row r="1790" spans="14:14" x14ac:dyDescent="0.25">
      <c r="N1790" s="74"/>
    </row>
    <row r="1791" spans="14:14" x14ac:dyDescent="0.25">
      <c r="N1791" s="74"/>
    </row>
    <row r="1792" spans="14:14" x14ac:dyDescent="0.25">
      <c r="N1792" s="74"/>
    </row>
    <row r="1793" spans="14:14" x14ac:dyDescent="0.25">
      <c r="N1793" s="74"/>
    </row>
    <row r="1794" spans="14:14" x14ac:dyDescent="0.25">
      <c r="N1794" s="74"/>
    </row>
    <row r="1795" spans="14:14" x14ac:dyDescent="0.25">
      <c r="N1795" s="74"/>
    </row>
    <row r="1796" spans="14:14" x14ac:dyDescent="0.25">
      <c r="N1796" s="74"/>
    </row>
    <row r="1797" spans="14:14" x14ac:dyDescent="0.25">
      <c r="N1797" s="74"/>
    </row>
    <row r="1798" spans="14:14" x14ac:dyDescent="0.25">
      <c r="N1798" s="74"/>
    </row>
    <row r="1799" spans="14:14" x14ac:dyDescent="0.25">
      <c r="N1799" s="74"/>
    </row>
    <row r="1800" spans="14:14" x14ac:dyDescent="0.25">
      <c r="N1800" s="74"/>
    </row>
    <row r="1801" spans="14:14" x14ac:dyDescent="0.25">
      <c r="N1801" s="74"/>
    </row>
    <row r="1802" spans="14:14" x14ac:dyDescent="0.25">
      <c r="N1802" s="74"/>
    </row>
    <row r="1803" spans="14:14" x14ac:dyDescent="0.25">
      <c r="N1803" s="74"/>
    </row>
    <row r="1804" spans="14:14" x14ac:dyDescent="0.25">
      <c r="N1804" s="74"/>
    </row>
    <row r="1805" spans="14:14" x14ac:dyDescent="0.25">
      <c r="N1805" s="74"/>
    </row>
    <row r="1806" spans="14:14" x14ac:dyDescent="0.25">
      <c r="N1806" s="74"/>
    </row>
    <row r="1807" spans="14:14" x14ac:dyDescent="0.25">
      <c r="N1807" s="74"/>
    </row>
    <row r="1808" spans="14:14" x14ac:dyDescent="0.25">
      <c r="N1808" s="74"/>
    </row>
    <row r="1809" spans="14:14" x14ac:dyDescent="0.25">
      <c r="N1809" s="74"/>
    </row>
    <row r="1810" spans="14:14" x14ac:dyDescent="0.25">
      <c r="N1810" s="74"/>
    </row>
    <row r="1811" spans="14:14" x14ac:dyDescent="0.25">
      <c r="N1811" s="74"/>
    </row>
    <row r="1812" spans="14:14" x14ac:dyDescent="0.25">
      <c r="N1812" s="74"/>
    </row>
    <row r="1813" spans="14:14" x14ac:dyDescent="0.25">
      <c r="N1813" s="74"/>
    </row>
    <row r="1814" spans="14:14" x14ac:dyDescent="0.25">
      <c r="N1814" s="74"/>
    </row>
    <row r="1815" spans="14:14" x14ac:dyDescent="0.25">
      <c r="N1815" s="74"/>
    </row>
    <row r="1816" spans="14:14" x14ac:dyDescent="0.25">
      <c r="N1816" s="74"/>
    </row>
    <row r="1817" spans="14:14" x14ac:dyDescent="0.25">
      <c r="N1817" s="74"/>
    </row>
    <row r="1818" spans="14:14" x14ac:dyDescent="0.25">
      <c r="N1818" s="74"/>
    </row>
    <row r="1819" spans="14:14" x14ac:dyDescent="0.25">
      <c r="N1819" s="74"/>
    </row>
    <row r="1820" spans="14:14" x14ac:dyDescent="0.25">
      <c r="N1820" s="74"/>
    </row>
    <row r="1821" spans="14:14" x14ac:dyDescent="0.25">
      <c r="N1821" s="74"/>
    </row>
    <row r="1822" spans="14:14" x14ac:dyDescent="0.25">
      <c r="N1822" s="74"/>
    </row>
    <row r="1823" spans="14:14" x14ac:dyDescent="0.25">
      <c r="N1823" s="74"/>
    </row>
    <row r="1824" spans="14:14" x14ac:dyDescent="0.25">
      <c r="N1824" s="74"/>
    </row>
    <row r="1825" spans="14:14" x14ac:dyDescent="0.25">
      <c r="N1825" s="74"/>
    </row>
    <row r="1826" spans="14:14" x14ac:dyDescent="0.25">
      <c r="N1826" s="74"/>
    </row>
    <row r="1827" spans="14:14" x14ac:dyDescent="0.25">
      <c r="N1827" s="74"/>
    </row>
    <row r="1828" spans="14:14" x14ac:dyDescent="0.25">
      <c r="N1828" s="74"/>
    </row>
    <row r="1829" spans="14:14" x14ac:dyDescent="0.25">
      <c r="N1829" s="74"/>
    </row>
    <row r="1830" spans="14:14" x14ac:dyDescent="0.25">
      <c r="N1830" s="74"/>
    </row>
    <row r="1831" spans="14:14" x14ac:dyDescent="0.25">
      <c r="N1831" s="74"/>
    </row>
    <row r="1832" spans="14:14" x14ac:dyDescent="0.25">
      <c r="N1832" s="74"/>
    </row>
    <row r="1833" spans="14:14" x14ac:dyDescent="0.25">
      <c r="N1833" s="74"/>
    </row>
    <row r="1834" spans="14:14" x14ac:dyDescent="0.25">
      <c r="N1834" s="74"/>
    </row>
    <row r="1835" spans="14:14" x14ac:dyDescent="0.25">
      <c r="N1835" s="74"/>
    </row>
    <row r="1836" spans="14:14" x14ac:dyDescent="0.25">
      <c r="N1836" s="74"/>
    </row>
    <row r="1837" spans="14:14" x14ac:dyDescent="0.25">
      <c r="N1837" s="74"/>
    </row>
    <row r="1838" spans="14:14" x14ac:dyDescent="0.25">
      <c r="N1838" s="74"/>
    </row>
    <row r="1839" spans="14:14" x14ac:dyDescent="0.25">
      <c r="N1839" s="74"/>
    </row>
    <row r="1840" spans="14:14" x14ac:dyDescent="0.25">
      <c r="N1840" s="74"/>
    </row>
    <row r="1841" spans="14:14" x14ac:dyDescent="0.25">
      <c r="N1841" s="74"/>
    </row>
    <row r="1842" spans="14:14" x14ac:dyDescent="0.25">
      <c r="N1842" s="74"/>
    </row>
    <row r="1843" spans="14:14" x14ac:dyDescent="0.25">
      <c r="N1843" s="74"/>
    </row>
    <row r="1844" spans="14:14" x14ac:dyDescent="0.25">
      <c r="N1844" s="74"/>
    </row>
    <row r="1845" spans="14:14" x14ac:dyDescent="0.25">
      <c r="N1845" s="74"/>
    </row>
    <row r="1846" spans="14:14" x14ac:dyDescent="0.25">
      <c r="N1846" s="74"/>
    </row>
    <row r="1847" spans="14:14" x14ac:dyDescent="0.25">
      <c r="N1847" s="74"/>
    </row>
    <row r="1848" spans="14:14" x14ac:dyDescent="0.25">
      <c r="N1848" s="74"/>
    </row>
    <row r="1849" spans="14:14" x14ac:dyDescent="0.25">
      <c r="N1849" s="74"/>
    </row>
    <row r="1850" spans="14:14" x14ac:dyDescent="0.25">
      <c r="N1850" s="74"/>
    </row>
    <row r="1851" spans="14:14" x14ac:dyDescent="0.25">
      <c r="N1851" s="74"/>
    </row>
    <row r="1852" spans="14:14" x14ac:dyDescent="0.25">
      <c r="N1852" s="74"/>
    </row>
    <row r="1853" spans="14:14" x14ac:dyDescent="0.25">
      <c r="N1853" s="74"/>
    </row>
    <row r="1854" spans="14:14" x14ac:dyDescent="0.25">
      <c r="N1854" s="74"/>
    </row>
    <row r="1855" spans="14:14" x14ac:dyDescent="0.25">
      <c r="N1855" s="74"/>
    </row>
    <row r="1856" spans="14:14" x14ac:dyDescent="0.25">
      <c r="N1856" s="74"/>
    </row>
    <row r="1857" spans="14:14" x14ac:dyDescent="0.25">
      <c r="N1857" s="74"/>
    </row>
    <row r="1858" spans="14:14" x14ac:dyDescent="0.25">
      <c r="N1858" s="74"/>
    </row>
    <row r="1859" spans="14:14" x14ac:dyDescent="0.25">
      <c r="N1859" s="74"/>
    </row>
    <row r="1860" spans="14:14" x14ac:dyDescent="0.25">
      <c r="N1860" s="74"/>
    </row>
    <row r="1861" spans="14:14" x14ac:dyDescent="0.25">
      <c r="N1861" s="74"/>
    </row>
    <row r="1862" spans="14:14" x14ac:dyDescent="0.25">
      <c r="N1862" s="74"/>
    </row>
    <row r="1863" spans="14:14" x14ac:dyDescent="0.25">
      <c r="N1863" s="74"/>
    </row>
    <row r="1864" spans="14:14" x14ac:dyDescent="0.25">
      <c r="N1864" s="74"/>
    </row>
    <row r="1865" spans="14:14" x14ac:dyDescent="0.25">
      <c r="N1865" s="74"/>
    </row>
    <row r="1866" spans="14:14" x14ac:dyDescent="0.25">
      <c r="N1866" s="74"/>
    </row>
    <row r="1867" spans="14:14" x14ac:dyDescent="0.25">
      <c r="N1867" s="74"/>
    </row>
    <row r="1868" spans="14:14" x14ac:dyDescent="0.25">
      <c r="N1868" s="74"/>
    </row>
    <row r="1869" spans="14:14" x14ac:dyDescent="0.25">
      <c r="N1869" s="74"/>
    </row>
    <row r="1870" spans="14:14" x14ac:dyDescent="0.25">
      <c r="N1870" s="74"/>
    </row>
    <row r="1871" spans="14:14" x14ac:dyDescent="0.25">
      <c r="N1871" s="74"/>
    </row>
    <row r="1872" spans="14:14" x14ac:dyDescent="0.25">
      <c r="N1872" s="74"/>
    </row>
    <row r="1873" spans="14:14" x14ac:dyDescent="0.25">
      <c r="N1873" s="74"/>
    </row>
    <row r="1874" spans="14:14" x14ac:dyDescent="0.25">
      <c r="N1874" s="74"/>
    </row>
    <row r="1875" spans="14:14" x14ac:dyDescent="0.25">
      <c r="N1875" s="74"/>
    </row>
    <row r="1876" spans="14:14" x14ac:dyDescent="0.25">
      <c r="N1876" s="74"/>
    </row>
    <row r="1877" spans="14:14" x14ac:dyDescent="0.25">
      <c r="N1877" s="74"/>
    </row>
    <row r="1878" spans="14:14" x14ac:dyDescent="0.25">
      <c r="N1878" s="74"/>
    </row>
    <row r="1879" spans="14:14" x14ac:dyDescent="0.25">
      <c r="N1879" s="74"/>
    </row>
    <row r="1880" spans="14:14" x14ac:dyDescent="0.25">
      <c r="N1880" s="74"/>
    </row>
    <row r="1881" spans="14:14" x14ac:dyDescent="0.25">
      <c r="N1881" s="74"/>
    </row>
    <row r="1882" spans="14:14" x14ac:dyDescent="0.25">
      <c r="N1882" s="74"/>
    </row>
    <row r="1883" spans="14:14" x14ac:dyDescent="0.25">
      <c r="N1883" s="74"/>
    </row>
    <row r="1884" spans="14:14" x14ac:dyDescent="0.25">
      <c r="N1884" s="74"/>
    </row>
    <row r="1885" spans="14:14" x14ac:dyDescent="0.25">
      <c r="N1885" s="74"/>
    </row>
    <row r="1886" spans="14:14" x14ac:dyDescent="0.25">
      <c r="N1886" s="74"/>
    </row>
    <row r="1887" spans="14:14" x14ac:dyDescent="0.25">
      <c r="N1887" s="74"/>
    </row>
    <row r="1888" spans="14:14" x14ac:dyDescent="0.25">
      <c r="N1888" s="74"/>
    </row>
    <row r="1889" spans="14:14" x14ac:dyDescent="0.25">
      <c r="N1889" s="74"/>
    </row>
    <row r="1890" spans="14:14" x14ac:dyDescent="0.25">
      <c r="N1890" s="74"/>
    </row>
    <row r="1891" spans="14:14" x14ac:dyDescent="0.25">
      <c r="N1891" s="74"/>
    </row>
    <row r="1892" spans="14:14" x14ac:dyDescent="0.25">
      <c r="N1892" s="74"/>
    </row>
    <row r="1893" spans="14:14" x14ac:dyDescent="0.25">
      <c r="N1893" s="74"/>
    </row>
    <row r="1894" spans="14:14" x14ac:dyDescent="0.25">
      <c r="N1894" s="74"/>
    </row>
    <row r="1895" spans="14:14" x14ac:dyDescent="0.25">
      <c r="N1895" s="74"/>
    </row>
    <row r="1896" spans="14:14" x14ac:dyDescent="0.25">
      <c r="N1896" s="74"/>
    </row>
    <row r="1897" spans="14:14" x14ac:dyDescent="0.25">
      <c r="N1897" s="74"/>
    </row>
    <row r="1898" spans="14:14" x14ac:dyDescent="0.25">
      <c r="N1898" s="74"/>
    </row>
    <row r="1899" spans="14:14" x14ac:dyDescent="0.25">
      <c r="N1899" s="74"/>
    </row>
    <row r="1900" spans="14:14" x14ac:dyDescent="0.25">
      <c r="N1900" s="74"/>
    </row>
    <row r="1901" spans="14:14" x14ac:dyDescent="0.25">
      <c r="N1901" s="74"/>
    </row>
    <row r="1902" spans="14:14" x14ac:dyDescent="0.25">
      <c r="N1902" s="74"/>
    </row>
    <row r="1903" spans="14:14" x14ac:dyDescent="0.25">
      <c r="N1903" s="74"/>
    </row>
    <row r="1904" spans="14:14" x14ac:dyDescent="0.25">
      <c r="N1904" s="74"/>
    </row>
    <row r="1905" spans="14:14" x14ac:dyDescent="0.25">
      <c r="N1905" s="74"/>
    </row>
    <row r="1906" spans="14:14" x14ac:dyDescent="0.25">
      <c r="N1906" s="74"/>
    </row>
    <row r="1907" spans="14:14" x14ac:dyDescent="0.25">
      <c r="N1907" s="74"/>
    </row>
    <row r="1908" spans="14:14" x14ac:dyDescent="0.25">
      <c r="N1908" s="74"/>
    </row>
    <row r="1909" spans="14:14" x14ac:dyDescent="0.25">
      <c r="N1909" s="74"/>
    </row>
    <row r="1910" spans="14:14" x14ac:dyDescent="0.25">
      <c r="N1910" s="74"/>
    </row>
    <row r="1911" spans="14:14" x14ac:dyDescent="0.25">
      <c r="N1911" s="74"/>
    </row>
    <row r="1912" spans="14:14" x14ac:dyDescent="0.25">
      <c r="N1912" s="74"/>
    </row>
    <row r="1913" spans="14:14" x14ac:dyDescent="0.25">
      <c r="N1913" s="74"/>
    </row>
    <row r="1914" spans="14:14" x14ac:dyDescent="0.25">
      <c r="N1914" s="74"/>
    </row>
    <row r="1915" spans="14:14" x14ac:dyDescent="0.25">
      <c r="N1915" s="74"/>
    </row>
    <row r="1916" spans="14:14" x14ac:dyDescent="0.25">
      <c r="N1916" s="74"/>
    </row>
    <row r="1917" spans="14:14" x14ac:dyDescent="0.25">
      <c r="N1917" s="74"/>
    </row>
    <row r="1918" spans="14:14" x14ac:dyDescent="0.25">
      <c r="N1918" s="74"/>
    </row>
    <row r="1919" spans="14:14" x14ac:dyDescent="0.25">
      <c r="N1919" s="74"/>
    </row>
    <row r="1920" spans="14:14" x14ac:dyDescent="0.25">
      <c r="N1920" s="74"/>
    </row>
    <row r="1921" spans="14:14" x14ac:dyDescent="0.25">
      <c r="N1921" s="74"/>
    </row>
    <row r="1922" spans="14:14" x14ac:dyDescent="0.25">
      <c r="N1922" s="74"/>
    </row>
    <row r="1923" spans="14:14" x14ac:dyDescent="0.25">
      <c r="N1923" s="74"/>
    </row>
    <row r="1924" spans="14:14" x14ac:dyDescent="0.25">
      <c r="N1924" s="74"/>
    </row>
    <row r="1925" spans="14:14" x14ac:dyDescent="0.25">
      <c r="N1925" s="74"/>
    </row>
    <row r="1926" spans="14:14" x14ac:dyDescent="0.25">
      <c r="N1926" s="74"/>
    </row>
    <row r="1927" spans="14:14" x14ac:dyDescent="0.25">
      <c r="N1927" s="74"/>
    </row>
    <row r="1928" spans="14:14" x14ac:dyDescent="0.25">
      <c r="N1928" s="74"/>
    </row>
  </sheetData>
  <mergeCells count="5">
    <mergeCell ref="H3:K3"/>
    <mergeCell ref="T3:V3"/>
    <mergeCell ref="A4:C4"/>
    <mergeCell ref="H4:L4"/>
    <mergeCell ref="W2:X2"/>
  </mergeCells>
  <hyperlinks>
    <hyperlink ref="D9" location="' Alternate #1'!A1" display="A1"/>
    <hyperlink ref="W2" location="'Table of Contents'!A1" display="Table of Contents"/>
  </hyperlinks>
  <pageMargins left="0.7" right="0.7" top="0.75" bottom="0.75" header="0.3" footer="0.3"/>
  <pageSetup scale="81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P2" sqref="P2:Q2"/>
    </sheetView>
  </sheetViews>
  <sheetFormatPr defaultRowHeight="15" x14ac:dyDescent="0.25"/>
  <cols>
    <col min="1" max="2" width="9.140625" style="89"/>
    <col min="3" max="3" width="16.7109375" style="89" customWidth="1"/>
    <col min="4" max="16384" width="9.140625" style="194"/>
  </cols>
  <sheetData>
    <row r="1" spans="1:18" ht="18" x14ac:dyDescent="0.25">
      <c r="A1" s="47"/>
      <c r="C1" s="47"/>
      <c r="D1" s="2"/>
      <c r="E1" s="3" t="s">
        <v>0</v>
      </c>
      <c r="F1" s="3"/>
      <c r="G1" s="4"/>
      <c r="H1" s="4"/>
      <c r="I1" s="5"/>
      <c r="J1" s="5"/>
      <c r="K1" s="6"/>
      <c r="L1" s="605" t="s">
        <v>723</v>
      </c>
      <c r="M1" s="605"/>
      <c r="N1" s="553"/>
      <c r="O1" s="8"/>
    </row>
    <row r="2" spans="1:18" ht="15.75" x14ac:dyDescent="0.25">
      <c r="A2" s="47"/>
      <c r="C2" s="47"/>
      <c r="D2" s="9"/>
      <c r="E2" s="10"/>
      <c r="F2" s="10"/>
      <c r="G2" s="10"/>
      <c r="H2" s="10"/>
      <c r="I2" s="10"/>
      <c r="J2" s="10"/>
      <c r="K2" s="6"/>
      <c r="L2" s="606" t="s">
        <v>21</v>
      </c>
      <c r="M2" s="606"/>
      <c r="N2" s="11"/>
      <c r="O2" s="12"/>
      <c r="P2" s="638" t="s">
        <v>781</v>
      </c>
      <c r="Q2" s="638"/>
    </row>
    <row r="3" spans="1:18" x14ac:dyDescent="0.25">
      <c r="A3" s="48"/>
      <c r="B3" s="550"/>
      <c r="C3" s="49"/>
      <c r="D3" s="605" t="s">
        <v>17</v>
      </c>
      <c r="E3" s="605"/>
      <c r="F3" s="605"/>
      <c r="G3" s="553"/>
      <c r="H3" s="553"/>
      <c r="I3" s="553"/>
      <c r="J3" s="6"/>
      <c r="K3" s="6"/>
      <c r="L3" s="606" t="s">
        <v>726</v>
      </c>
      <c r="M3" s="606"/>
      <c r="N3" s="11"/>
      <c r="O3" s="12"/>
    </row>
    <row r="4" spans="1:18" x14ac:dyDescent="0.25">
      <c r="A4" s="607" t="s">
        <v>18</v>
      </c>
      <c r="B4" s="607"/>
      <c r="C4" s="607"/>
      <c r="D4" s="608" t="s">
        <v>729</v>
      </c>
      <c r="E4" s="608"/>
      <c r="F4" s="608"/>
      <c r="G4" s="13"/>
      <c r="H4" s="13"/>
      <c r="I4" s="13"/>
      <c r="J4" s="13"/>
      <c r="K4" s="13"/>
      <c r="L4" s="608" t="s">
        <v>19</v>
      </c>
      <c r="M4" s="608"/>
      <c r="N4" s="13"/>
      <c r="O4" s="14"/>
    </row>
    <row r="5" spans="1:18" x14ac:dyDescent="0.25">
      <c r="A5" s="50"/>
      <c r="B5" s="51"/>
      <c r="C5" s="52"/>
      <c r="D5" s="17" t="s">
        <v>2</v>
      </c>
      <c r="E5" s="18" t="s">
        <v>3</v>
      </c>
      <c r="F5" s="19"/>
      <c r="G5" s="19"/>
      <c r="H5" s="19"/>
      <c r="I5" s="15"/>
      <c r="J5" s="20"/>
      <c r="K5" s="15"/>
      <c r="L5" s="20"/>
      <c r="M5" s="15"/>
      <c r="N5" s="20"/>
      <c r="O5" s="17" t="s">
        <v>4</v>
      </c>
      <c r="P5" s="44"/>
      <c r="Q5" s="16"/>
      <c r="R5" s="45"/>
    </row>
    <row r="6" spans="1:18" ht="15.75" thickBot="1" x14ac:dyDescent="0.3">
      <c r="A6" s="53" t="s">
        <v>5</v>
      </c>
      <c r="B6" s="54"/>
      <c r="C6" s="55"/>
      <c r="D6" s="41" t="s">
        <v>6</v>
      </c>
      <c r="E6" s="42" t="s">
        <v>7</v>
      </c>
      <c r="F6" s="42" t="s">
        <v>8</v>
      </c>
      <c r="G6" s="42" t="s">
        <v>9</v>
      </c>
      <c r="H6" s="41" t="s">
        <v>10</v>
      </c>
      <c r="I6" s="42" t="s">
        <v>11</v>
      </c>
      <c r="J6" s="42" t="s">
        <v>12</v>
      </c>
      <c r="K6" s="42" t="s">
        <v>13</v>
      </c>
      <c r="L6" s="43" t="s">
        <v>12</v>
      </c>
      <c r="M6" s="42" t="s">
        <v>14</v>
      </c>
      <c r="N6" s="43" t="s">
        <v>12</v>
      </c>
      <c r="O6" s="41" t="s">
        <v>15</v>
      </c>
      <c r="P6" s="590" t="s">
        <v>40</v>
      </c>
      <c r="Q6" s="591"/>
      <c r="R6" s="592"/>
    </row>
    <row r="7" spans="1:18" x14ac:dyDescent="0.25">
      <c r="A7" s="593"/>
      <c r="B7" s="594"/>
      <c r="C7" s="595"/>
      <c r="D7" s="38"/>
      <c r="E7" s="551"/>
      <c r="F7" s="39"/>
      <c r="G7" s="552"/>
      <c r="H7" s="40"/>
      <c r="I7" s="551"/>
      <c r="J7" s="40"/>
      <c r="K7" s="56"/>
      <c r="L7" s="57"/>
      <c r="M7" s="551"/>
      <c r="N7" s="40"/>
      <c r="O7" s="83"/>
      <c r="P7" s="596"/>
      <c r="Q7" s="597"/>
      <c r="R7" s="598"/>
    </row>
    <row r="8" spans="1:18" x14ac:dyDescent="0.25">
      <c r="A8" s="599" t="s">
        <v>692</v>
      </c>
      <c r="B8" s="600"/>
      <c r="C8" s="601"/>
      <c r="D8" s="564" t="s">
        <v>84</v>
      </c>
      <c r="E8" s="546"/>
      <c r="F8" s="84"/>
      <c r="G8" s="547"/>
      <c r="H8" s="23"/>
      <c r="I8" s="546">
        <f>Finshes!I12</f>
        <v>379</v>
      </c>
      <c r="J8" s="24" t="s">
        <v>348</v>
      </c>
      <c r="K8" s="58"/>
      <c r="L8" s="23"/>
      <c r="M8" s="27">
        <f>I8</f>
        <v>379</v>
      </c>
      <c r="N8" s="23" t="s">
        <v>42</v>
      </c>
      <c r="O8" s="570" t="s">
        <v>759</v>
      </c>
      <c r="P8" s="602"/>
      <c r="Q8" s="603"/>
      <c r="R8" s="604"/>
    </row>
    <row r="9" spans="1:18" x14ac:dyDescent="0.25">
      <c r="A9" s="599"/>
      <c r="B9" s="600"/>
      <c r="C9" s="601"/>
      <c r="D9" s="22"/>
      <c r="E9" s="546"/>
      <c r="F9" s="84"/>
      <c r="G9" s="547"/>
      <c r="H9" s="23"/>
      <c r="I9" s="546"/>
      <c r="J9" s="23"/>
      <c r="K9" s="58"/>
      <c r="L9" s="23"/>
      <c r="M9" s="546"/>
      <c r="N9" s="23"/>
      <c r="O9" s="77"/>
      <c r="P9" s="602"/>
      <c r="Q9" s="603"/>
      <c r="R9" s="604"/>
    </row>
    <row r="10" spans="1:18" x14ac:dyDescent="0.25">
      <c r="A10" s="599"/>
      <c r="B10" s="600"/>
      <c r="C10" s="601"/>
      <c r="D10" s="22"/>
      <c r="E10" s="546"/>
      <c r="F10" s="84"/>
      <c r="G10" s="547"/>
      <c r="H10" s="23"/>
      <c r="I10" s="546"/>
      <c r="J10" s="23"/>
      <c r="K10" s="58"/>
      <c r="L10" s="23"/>
      <c r="M10" s="546"/>
      <c r="N10" s="23"/>
      <c r="O10" s="77"/>
      <c r="P10" s="602"/>
      <c r="Q10" s="603"/>
      <c r="R10" s="604"/>
    </row>
    <row r="11" spans="1:18" x14ac:dyDescent="0.25">
      <c r="A11" s="599"/>
      <c r="B11" s="600"/>
      <c r="C11" s="601"/>
      <c r="D11" s="25"/>
      <c r="E11" s="546"/>
      <c r="F11" s="84"/>
      <c r="G11" s="547"/>
      <c r="H11" s="23"/>
      <c r="I11" s="546"/>
      <c r="J11" s="23"/>
      <c r="K11" s="58"/>
      <c r="L11" s="23"/>
      <c r="M11" s="546"/>
      <c r="N11" s="23"/>
      <c r="O11" s="77"/>
      <c r="P11" s="602"/>
      <c r="Q11" s="603"/>
      <c r="R11" s="604"/>
    </row>
    <row r="12" spans="1:18" x14ac:dyDescent="0.25">
      <c r="A12" s="599"/>
      <c r="B12" s="600"/>
      <c r="C12" s="601"/>
      <c r="D12" s="25"/>
      <c r="E12" s="546"/>
      <c r="F12" s="84"/>
      <c r="G12" s="547"/>
      <c r="H12" s="23"/>
      <c r="I12" s="546"/>
      <c r="J12" s="23"/>
      <c r="K12" s="58"/>
      <c r="L12" s="23"/>
      <c r="M12" s="546"/>
      <c r="N12" s="23"/>
      <c r="O12" s="77"/>
      <c r="P12" s="602"/>
      <c r="Q12" s="603"/>
      <c r="R12" s="604"/>
    </row>
    <row r="13" spans="1:18" x14ac:dyDescent="0.25">
      <c r="A13" s="599"/>
      <c r="B13" s="600"/>
      <c r="C13" s="601"/>
      <c r="D13" s="25"/>
      <c r="E13" s="546"/>
      <c r="F13" s="84"/>
      <c r="G13" s="547"/>
      <c r="H13" s="23"/>
      <c r="I13" s="546"/>
      <c r="J13" s="82"/>
      <c r="K13" s="58"/>
      <c r="L13" s="24"/>
      <c r="M13" s="546"/>
      <c r="N13" s="23"/>
      <c r="O13" s="77"/>
      <c r="P13" s="602"/>
      <c r="Q13" s="603"/>
      <c r="R13" s="604"/>
    </row>
    <row r="14" spans="1:18" x14ac:dyDescent="0.25">
      <c r="A14" s="599"/>
      <c r="B14" s="600"/>
      <c r="C14" s="601"/>
      <c r="D14" s="25"/>
      <c r="E14" s="546"/>
      <c r="F14" s="84"/>
      <c r="G14" s="547"/>
      <c r="H14" s="23"/>
      <c r="I14" s="546"/>
      <c r="J14" s="23"/>
      <c r="K14" s="60"/>
      <c r="L14" s="23"/>
      <c r="M14" s="32"/>
      <c r="N14" s="33"/>
      <c r="O14" s="559"/>
      <c r="P14" s="602"/>
      <c r="Q14" s="603"/>
      <c r="R14" s="604"/>
    </row>
    <row r="15" spans="1:18" x14ac:dyDescent="0.25">
      <c r="A15" s="599"/>
      <c r="B15" s="600"/>
      <c r="C15" s="601"/>
      <c r="D15" s="25"/>
      <c r="E15" s="546"/>
      <c r="F15" s="84"/>
      <c r="G15" s="547"/>
      <c r="H15" s="23"/>
      <c r="I15" s="546"/>
      <c r="J15" s="23"/>
      <c r="K15" s="58"/>
      <c r="L15" s="23"/>
      <c r="M15" s="34"/>
      <c r="N15" s="35"/>
      <c r="O15" s="77"/>
      <c r="P15" s="602"/>
      <c r="Q15" s="603"/>
      <c r="R15" s="604"/>
    </row>
    <row r="16" spans="1:18" x14ac:dyDescent="0.25">
      <c r="A16" s="612"/>
      <c r="B16" s="613"/>
      <c r="C16" s="614"/>
      <c r="D16" s="25"/>
      <c r="E16" s="546"/>
      <c r="F16" s="84"/>
      <c r="G16" s="547"/>
      <c r="H16" s="23"/>
      <c r="I16" s="546"/>
      <c r="J16" s="23"/>
      <c r="K16" s="58"/>
      <c r="L16" s="23"/>
      <c r="M16" s="34"/>
      <c r="N16" s="35"/>
      <c r="O16" s="77"/>
      <c r="P16" s="602"/>
      <c r="Q16" s="603"/>
      <c r="R16" s="604"/>
    </row>
    <row r="17" spans="1:18" x14ac:dyDescent="0.25">
      <c r="A17" s="609"/>
      <c r="B17" s="610"/>
      <c r="C17" s="611"/>
      <c r="D17" s="25"/>
      <c r="E17" s="546"/>
      <c r="F17" s="84"/>
      <c r="G17" s="547"/>
      <c r="H17" s="23"/>
      <c r="I17" s="546"/>
      <c r="J17" s="23"/>
      <c r="K17" s="58"/>
      <c r="L17" s="23"/>
      <c r="M17" s="34"/>
      <c r="N17" s="35"/>
      <c r="O17" s="77"/>
      <c r="P17" s="602"/>
      <c r="Q17" s="603"/>
      <c r="R17" s="604"/>
    </row>
    <row r="18" spans="1:18" x14ac:dyDescent="0.25">
      <c r="A18" s="599"/>
      <c r="B18" s="600"/>
      <c r="C18" s="601"/>
      <c r="D18" s="22"/>
      <c r="E18" s="546"/>
      <c r="F18" s="84"/>
      <c r="G18" s="547"/>
      <c r="H18" s="23"/>
      <c r="I18" s="546"/>
      <c r="J18" s="24"/>
      <c r="K18" s="59"/>
      <c r="L18" s="24"/>
      <c r="M18" s="34"/>
      <c r="N18" s="35"/>
      <c r="O18" s="77"/>
      <c r="P18" s="602"/>
      <c r="Q18" s="603"/>
      <c r="R18" s="604"/>
    </row>
    <row r="19" spans="1:18" x14ac:dyDescent="0.25">
      <c r="A19" s="599"/>
      <c r="B19" s="600"/>
      <c r="C19" s="601"/>
      <c r="D19" s="22"/>
      <c r="E19" s="546"/>
      <c r="F19" s="84"/>
      <c r="G19" s="547"/>
      <c r="H19" s="23"/>
      <c r="I19" s="546"/>
      <c r="J19" s="23"/>
      <c r="K19" s="58"/>
      <c r="L19" s="23"/>
      <c r="M19" s="34"/>
      <c r="N19" s="35"/>
      <c r="O19" s="77"/>
      <c r="P19" s="602"/>
      <c r="Q19" s="603"/>
      <c r="R19" s="604"/>
    </row>
    <row r="20" spans="1:18" x14ac:dyDescent="0.25">
      <c r="A20" s="599"/>
      <c r="B20" s="600"/>
      <c r="C20" s="601"/>
      <c r="D20" s="25"/>
      <c r="E20" s="546"/>
      <c r="F20" s="84"/>
      <c r="G20" s="547"/>
      <c r="H20" s="23"/>
      <c r="I20" s="27"/>
      <c r="J20" s="23"/>
      <c r="K20" s="58"/>
      <c r="L20" s="23"/>
      <c r="M20" s="34"/>
      <c r="N20" s="35"/>
      <c r="O20" s="77"/>
      <c r="P20" s="602"/>
      <c r="Q20" s="603"/>
      <c r="R20" s="604"/>
    </row>
    <row r="21" spans="1:18" x14ac:dyDescent="0.25">
      <c r="A21" s="609"/>
      <c r="B21" s="610"/>
      <c r="C21" s="611"/>
      <c r="D21" s="25"/>
      <c r="E21" s="546"/>
      <c r="F21" s="84"/>
      <c r="G21" s="547"/>
      <c r="H21" s="23"/>
      <c r="I21" s="546"/>
      <c r="J21" s="23"/>
      <c r="K21" s="58"/>
      <c r="L21" s="23"/>
      <c r="M21" s="34"/>
      <c r="N21" s="35"/>
      <c r="O21" s="77"/>
      <c r="P21" s="602"/>
      <c r="Q21" s="603"/>
      <c r="R21" s="604"/>
    </row>
    <row r="22" spans="1:18" x14ac:dyDescent="0.25">
      <c r="A22" s="599"/>
      <c r="B22" s="600"/>
      <c r="C22" s="601"/>
      <c r="D22" s="25"/>
      <c r="E22" s="546"/>
      <c r="F22" s="84"/>
      <c r="G22" s="547"/>
      <c r="H22" s="23"/>
      <c r="I22" s="546"/>
      <c r="J22" s="23"/>
      <c r="K22" s="58"/>
      <c r="L22" s="23"/>
      <c r="M22" s="34"/>
      <c r="N22" s="35"/>
      <c r="O22" s="77"/>
      <c r="P22" s="602"/>
      <c r="Q22" s="603"/>
      <c r="R22" s="604"/>
    </row>
    <row r="23" spans="1:18" x14ac:dyDescent="0.25">
      <c r="A23" s="599"/>
      <c r="B23" s="600"/>
      <c r="C23" s="601"/>
      <c r="D23" s="25"/>
      <c r="E23" s="546"/>
      <c r="F23" s="84"/>
      <c r="G23" s="547"/>
      <c r="H23" s="23"/>
      <c r="I23" s="546"/>
      <c r="J23" s="23"/>
      <c r="K23" s="58"/>
      <c r="L23" s="23"/>
      <c r="M23" s="34"/>
      <c r="N23" s="35"/>
      <c r="O23" s="77"/>
      <c r="P23" s="602"/>
      <c r="Q23" s="603"/>
      <c r="R23" s="604"/>
    </row>
    <row r="24" spans="1:18" x14ac:dyDescent="0.25">
      <c r="A24" s="616"/>
      <c r="B24" s="617"/>
      <c r="C24" s="618"/>
      <c r="D24" s="25"/>
      <c r="E24" s="546"/>
      <c r="F24" s="84"/>
      <c r="G24" s="547"/>
      <c r="H24" s="23"/>
      <c r="I24" s="546"/>
      <c r="J24" s="23"/>
      <c r="K24" s="58"/>
      <c r="L24" s="23"/>
      <c r="M24" s="34"/>
      <c r="N24" s="35"/>
      <c r="O24" s="77"/>
      <c r="P24" s="602"/>
      <c r="Q24" s="603"/>
      <c r="R24" s="604"/>
    </row>
    <row r="25" spans="1:18" x14ac:dyDescent="0.25">
      <c r="A25" s="615"/>
      <c r="B25" s="600"/>
      <c r="C25" s="601"/>
      <c r="D25" s="78"/>
      <c r="E25" s="546"/>
      <c r="F25" s="84"/>
      <c r="G25" s="547"/>
      <c r="H25" s="23"/>
      <c r="I25" s="27"/>
      <c r="J25" s="23"/>
      <c r="K25" s="58"/>
      <c r="L25" s="23"/>
      <c r="M25" s="34"/>
      <c r="N25" s="35"/>
      <c r="O25" s="77"/>
      <c r="P25" s="602"/>
      <c r="Q25" s="603"/>
      <c r="R25" s="604"/>
    </row>
    <row r="26" spans="1:18" x14ac:dyDescent="0.25">
      <c r="A26" s="615"/>
      <c r="B26" s="600"/>
      <c r="C26" s="601"/>
      <c r="D26" s="78"/>
      <c r="E26" s="546"/>
      <c r="F26" s="84"/>
      <c r="G26" s="547"/>
      <c r="H26" s="23"/>
      <c r="I26" s="546"/>
      <c r="J26" s="23"/>
      <c r="K26" s="58"/>
      <c r="L26" s="23"/>
      <c r="M26" s="34"/>
      <c r="N26" s="35"/>
      <c r="O26" s="77"/>
      <c r="P26" s="602"/>
      <c r="Q26" s="603"/>
      <c r="R26" s="604"/>
    </row>
    <row r="27" spans="1:18" x14ac:dyDescent="0.25">
      <c r="A27" s="615"/>
      <c r="B27" s="600"/>
      <c r="C27" s="601"/>
      <c r="D27" s="78"/>
      <c r="E27" s="546"/>
      <c r="F27" s="84"/>
      <c r="G27" s="547"/>
      <c r="H27" s="23"/>
      <c r="I27" s="546"/>
      <c r="J27" s="23"/>
      <c r="K27" s="58"/>
      <c r="L27" s="23"/>
      <c r="M27" s="34"/>
      <c r="N27" s="35"/>
      <c r="O27" s="77"/>
      <c r="P27" s="602"/>
      <c r="Q27" s="603"/>
      <c r="R27" s="604"/>
    </row>
    <row r="28" spans="1:18" x14ac:dyDescent="0.25">
      <c r="A28" s="615"/>
      <c r="B28" s="600"/>
      <c r="C28" s="601"/>
      <c r="D28" s="78"/>
      <c r="E28" s="546"/>
      <c r="F28" s="84"/>
      <c r="G28" s="547"/>
      <c r="H28" s="23"/>
      <c r="I28" s="546"/>
      <c r="J28" s="23"/>
      <c r="K28" s="58"/>
      <c r="L28" s="23"/>
      <c r="M28" s="34"/>
      <c r="N28" s="35"/>
      <c r="O28" s="77"/>
      <c r="P28" s="602"/>
      <c r="Q28" s="603"/>
      <c r="R28" s="604"/>
    </row>
    <row r="29" spans="1:18" x14ac:dyDescent="0.25">
      <c r="A29" s="615"/>
      <c r="B29" s="600"/>
      <c r="C29" s="601"/>
      <c r="D29" s="78"/>
      <c r="E29" s="546"/>
      <c r="F29" s="84"/>
      <c r="G29" s="547"/>
      <c r="H29" s="23"/>
      <c r="I29" s="546"/>
      <c r="J29" s="23"/>
      <c r="K29" s="58"/>
      <c r="L29" s="23"/>
      <c r="M29" s="34"/>
      <c r="N29" s="35"/>
      <c r="O29" s="77"/>
      <c r="P29" s="602"/>
      <c r="Q29" s="603"/>
      <c r="R29" s="604"/>
    </row>
    <row r="30" spans="1:18" x14ac:dyDescent="0.25">
      <c r="A30" s="615"/>
      <c r="B30" s="600"/>
      <c r="C30" s="601"/>
      <c r="D30" s="78"/>
      <c r="E30" s="546"/>
      <c r="F30" s="84"/>
      <c r="G30" s="547"/>
      <c r="H30" s="23"/>
      <c r="I30" s="546"/>
      <c r="J30" s="23"/>
      <c r="K30" s="58"/>
      <c r="L30" s="23"/>
      <c r="M30" s="34"/>
      <c r="N30" s="35"/>
      <c r="O30" s="77"/>
      <c r="P30" s="602"/>
      <c r="Q30" s="603"/>
      <c r="R30" s="604"/>
    </row>
    <row r="31" spans="1:18" x14ac:dyDescent="0.25">
      <c r="A31" s="615"/>
      <c r="B31" s="600"/>
      <c r="C31" s="601"/>
      <c r="D31" s="78"/>
      <c r="E31" s="546"/>
      <c r="F31" s="84"/>
      <c r="G31" s="547"/>
      <c r="H31" s="23"/>
      <c r="I31" s="546"/>
      <c r="J31" s="23"/>
      <c r="K31" s="58"/>
      <c r="L31" s="23"/>
      <c r="M31" s="34"/>
      <c r="N31" s="35"/>
      <c r="O31" s="77"/>
      <c r="P31" s="602"/>
      <c r="Q31" s="603"/>
      <c r="R31" s="604"/>
    </row>
    <row r="32" spans="1:18" x14ac:dyDescent="0.25">
      <c r="A32" s="619"/>
      <c r="B32" s="620"/>
      <c r="C32" s="621"/>
      <c r="D32" s="25"/>
      <c r="E32" s="546"/>
      <c r="F32" s="84"/>
      <c r="G32" s="547"/>
      <c r="H32" s="23"/>
      <c r="I32" s="546"/>
      <c r="J32" s="23"/>
      <c r="K32" s="58"/>
      <c r="L32" s="23"/>
      <c r="M32" s="34"/>
      <c r="N32" s="35"/>
      <c r="O32" s="77"/>
      <c r="P32" s="602"/>
      <c r="Q32" s="603"/>
      <c r="R32" s="604"/>
    </row>
    <row r="33" spans="1:18" x14ac:dyDescent="0.25">
      <c r="A33" s="599"/>
      <c r="B33" s="600"/>
      <c r="C33" s="601"/>
      <c r="D33" s="22"/>
      <c r="E33" s="546"/>
      <c r="F33" s="84"/>
      <c r="G33" s="547"/>
      <c r="H33" s="23"/>
      <c r="I33" s="546"/>
      <c r="J33" s="23"/>
      <c r="K33" s="58"/>
      <c r="L33" s="23"/>
      <c r="M33" s="34"/>
      <c r="N33" s="35"/>
      <c r="O33" s="77"/>
      <c r="P33" s="602"/>
      <c r="Q33" s="603"/>
      <c r="R33" s="604"/>
    </row>
    <row r="34" spans="1:18" x14ac:dyDescent="0.25">
      <c r="A34" s="599"/>
      <c r="B34" s="600"/>
      <c r="C34" s="601"/>
      <c r="D34" s="25"/>
      <c r="E34" s="546"/>
      <c r="F34" s="84"/>
      <c r="G34" s="547"/>
      <c r="H34" s="23"/>
      <c r="I34" s="546"/>
      <c r="J34" s="23"/>
      <c r="K34" s="58"/>
      <c r="L34" s="24"/>
      <c r="M34" s="34"/>
      <c r="N34" s="35"/>
      <c r="O34" s="77"/>
      <c r="P34" s="602"/>
      <c r="Q34" s="603"/>
      <c r="R34" s="604"/>
    </row>
    <row r="35" spans="1:18" x14ac:dyDescent="0.25">
      <c r="A35" s="599"/>
      <c r="B35" s="600"/>
      <c r="C35" s="601"/>
      <c r="D35" s="25"/>
      <c r="E35" s="546"/>
      <c r="F35" s="84"/>
      <c r="G35" s="547"/>
      <c r="H35" s="23"/>
      <c r="I35" s="546"/>
      <c r="J35" s="23"/>
      <c r="K35" s="60"/>
      <c r="L35" s="23"/>
      <c r="M35" s="32"/>
      <c r="N35" s="33"/>
      <c r="O35" s="77"/>
      <c r="P35" s="602"/>
      <c r="Q35" s="603"/>
      <c r="R35" s="604"/>
    </row>
    <row r="36" spans="1:18" x14ac:dyDescent="0.25">
      <c r="A36" s="599"/>
      <c r="B36" s="600"/>
      <c r="C36" s="601"/>
      <c r="D36" s="25"/>
      <c r="E36" s="546"/>
      <c r="F36" s="84"/>
      <c r="G36" s="547"/>
      <c r="H36" s="23"/>
      <c r="I36" s="546"/>
      <c r="J36" s="23"/>
      <c r="K36" s="58"/>
      <c r="L36" s="23"/>
      <c r="M36" s="34"/>
      <c r="N36" s="35"/>
      <c r="O36" s="77"/>
      <c r="P36" s="602"/>
      <c r="Q36" s="603"/>
      <c r="R36" s="604"/>
    </row>
    <row r="37" spans="1:18" x14ac:dyDescent="0.25">
      <c r="A37" s="612"/>
      <c r="B37" s="613"/>
      <c r="C37" s="614"/>
      <c r="D37" s="25"/>
      <c r="E37" s="546"/>
      <c r="F37" s="84"/>
      <c r="G37" s="547"/>
      <c r="H37" s="23"/>
      <c r="I37" s="546"/>
      <c r="J37" s="23"/>
      <c r="K37" s="58"/>
      <c r="L37" s="23"/>
      <c r="M37" s="34"/>
      <c r="N37" s="35"/>
      <c r="O37" s="77"/>
      <c r="P37" s="602"/>
      <c r="Q37" s="603"/>
      <c r="R37" s="604"/>
    </row>
    <row r="38" spans="1:18" x14ac:dyDescent="0.25">
      <c r="A38" s="609"/>
      <c r="B38" s="610"/>
      <c r="C38" s="611"/>
      <c r="D38" s="25"/>
      <c r="E38" s="546"/>
      <c r="F38" s="84"/>
      <c r="G38" s="547"/>
      <c r="H38" s="23"/>
      <c r="I38" s="546"/>
      <c r="J38" s="23"/>
      <c r="K38" s="58"/>
      <c r="L38" s="23"/>
      <c r="M38" s="34"/>
      <c r="N38" s="35"/>
      <c r="O38" s="77"/>
      <c r="P38" s="602"/>
      <c r="Q38" s="603"/>
      <c r="R38" s="604"/>
    </row>
    <row r="39" spans="1:18" x14ac:dyDescent="0.25">
      <c r="A39" s="599"/>
      <c r="B39" s="600"/>
      <c r="C39" s="601"/>
      <c r="D39" s="25"/>
      <c r="E39" s="546"/>
      <c r="F39" s="84"/>
      <c r="G39" s="547"/>
      <c r="H39" s="23"/>
      <c r="I39" s="27"/>
      <c r="J39" s="23"/>
      <c r="K39" s="58"/>
      <c r="L39" s="23"/>
      <c r="M39" s="34"/>
      <c r="N39" s="35"/>
      <c r="O39" s="77"/>
      <c r="P39" s="602"/>
      <c r="Q39" s="603"/>
      <c r="R39" s="604"/>
    </row>
    <row r="40" spans="1:18" x14ac:dyDescent="0.25">
      <c r="A40" s="599"/>
      <c r="B40" s="600"/>
      <c r="C40" s="601"/>
      <c r="D40" s="25"/>
      <c r="E40" s="546"/>
      <c r="F40" s="84"/>
      <c r="G40" s="547"/>
      <c r="H40" s="23"/>
      <c r="I40" s="546"/>
      <c r="J40" s="23"/>
      <c r="K40" s="58"/>
      <c r="L40" s="23"/>
      <c r="M40" s="34"/>
      <c r="N40" s="35"/>
      <c r="O40" s="77"/>
      <c r="P40" s="602"/>
      <c r="Q40" s="603"/>
      <c r="R40" s="604"/>
    </row>
    <row r="41" spans="1:18" x14ac:dyDescent="0.25">
      <c r="A41" s="609"/>
      <c r="B41" s="610"/>
      <c r="C41" s="611"/>
      <c r="D41" s="25"/>
      <c r="E41" s="546"/>
      <c r="F41" s="84"/>
      <c r="G41" s="547"/>
      <c r="H41" s="23"/>
      <c r="I41" s="546"/>
      <c r="J41" s="23"/>
      <c r="K41" s="58"/>
      <c r="L41" s="23"/>
      <c r="M41" s="34"/>
      <c r="N41" s="35"/>
      <c r="O41" s="77"/>
      <c r="P41" s="602"/>
      <c r="Q41" s="603"/>
      <c r="R41" s="604"/>
    </row>
    <row r="42" spans="1:18" x14ac:dyDescent="0.25">
      <c r="A42" s="599"/>
      <c r="B42" s="600"/>
      <c r="C42" s="601"/>
      <c r="D42" s="25"/>
      <c r="E42" s="546"/>
      <c r="F42" s="84"/>
      <c r="G42" s="547"/>
      <c r="H42" s="23"/>
      <c r="I42" s="27"/>
      <c r="J42" s="23"/>
      <c r="K42" s="58"/>
      <c r="L42" s="23"/>
      <c r="M42" s="34"/>
      <c r="N42" s="35"/>
      <c r="O42" s="77"/>
      <c r="P42" s="602"/>
      <c r="Q42" s="603"/>
      <c r="R42" s="604"/>
    </row>
    <row r="43" spans="1:18" x14ac:dyDescent="0.25">
      <c r="A43" s="599"/>
      <c r="B43" s="600"/>
      <c r="C43" s="601"/>
      <c r="D43" s="25"/>
      <c r="E43" s="546"/>
      <c r="F43" s="84"/>
      <c r="G43" s="547"/>
      <c r="H43" s="23"/>
      <c r="I43" s="27"/>
      <c r="J43" s="23"/>
      <c r="K43" s="58"/>
      <c r="L43" s="23"/>
      <c r="M43" s="34"/>
      <c r="N43" s="35"/>
      <c r="O43" s="77"/>
      <c r="P43" s="602"/>
      <c r="Q43" s="603"/>
      <c r="R43" s="604"/>
    </row>
    <row r="44" spans="1:18" x14ac:dyDescent="0.25">
      <c r="A44" s="599"/>
      <c r="B44" s="600"/>
      <c r="C44" s="601"/>
      <c r="D44" s="25"/>
      <c r="E44" s="546"/>
      <c r="F44" s="84"/>
      <c r="G44" s="547"/>
      <c r="H44" s="23"/>
      <c r="I44" s="27"/>
      <c r="J44" s="23"/>
      <c r="K44" s="58"/>
      <c r="L44" s="23"/>
      <c r="M44" s="34"/>
      <c r="N44" s="35"/>
      <c r="O44" s="77"/>
      <c r="P44" s="602"/>
      <c r="Q44" s="603"/>
      <c r="R44" s="604"/>
    </row>
    <row r="45" spans="1:18" x14ac:dyDescent="0.25">
      <c r="A45" s="609"/>
      <c r="B45" s="610"/>
      <c r="C45" s="611"/>
      <c r="D45" s="25"/>
      <c r="E45" s="546"/>
      <c r="F45" s="84"/>
      <c r="G45" s="547"/>
      <c r="H45" s="23"/>
      <c r="I45" s="546"/>
      <c r="J45" s="23"/>
      <c r="K45" s="58"/>
      <c r="L45" s="23"/>
      <c r="M45" s="34"/>
      <c r="N45" s="35"/>
      <c r="O45" s="77"/>
      <c r="P45" s="602"/>
      <c r="Q45" s="603"/>
      <c r="R45" s="604"/>
    </row>
    <row r="46" spans="1:18" x14ac:dyDescent="0.25">
      <c r="A46" s="599"/>
      <c r="B46" s="600"/>
      <c r="C46" s="601"/>
      <c r="D46" s="25"/>
      <c r="E46" s="546"/>
      <c r="F46" s="84"/>
      <c r="G46" s="547"/>
      <c r="H46" s="23"/>
      <c r="I46" s="27"/>
      <c r="J46" s="24"/>
      <c r="K46" s="58"/>
      <c r="L46" s="23"/>
      <c r="M46" s="34"/>
      <c r="N46" s="35"/>
      <c r="O46" s="77"/>
      <c r="P46" s="602"/>
      <c r="Q46" s="603"/>
      <c r="R46" s="604"/>
    </row>
    <row r="47" spans="1:18" x14ac:dyDescent="0.25">
      <c r="A47" s="599"/>
      <c r="B47" s="600"/>
      <c r="C47" s="601"/>
      <c r="D47" s="25"/>
      <c r="E47" s="546"/>
      <c r="F47" s="84"/>
      <c r="G47" s="547"/>
      <c r="H47" s="23"/>
      <c r="I47" s="27"/>
      <c r="J47" s="23"/>
      <c r="K47" s="58"/>
      <c r="L47" s="23"/>
      <c r="M47" s="34"/>
      <c r="N47" s="35"/>
      <c r="O47" s="77"/>
      <c r="P47" s="602"/>
      <c r="Q47" s="603"/>
      <c r="R47" s="604"/>
    </row>
    <row r="48" spans="1:18" x14ac:dyDescent="0.25">
      <c r="A48" s="599"/>
      <c r="B48" s="600"/>
      <c r="C48" s="601"/>
      <c r="D48" s="25"/>
      <c r="E48" s="546"/>
      <c r="F48" s="84"/>
      <c r="G48" s="547"/>
      <c r="H48" s="23"/>
      <c r="I48" s="27"/>
      <c r="J48" s="23"/>
      <c r="K48" s="58"/>
      <c r="L48" s="23"/>
      <c r="M48" s="34"/>
      <c r="N48" s="35"/>
      <c r="O48" s="77"/>
      <c r="P48" s="602"/>
      <c r="Q48" s="603"/>
      <c r="R48" s="604"/>
    </row>
    <row r="49" spans="1:18" x14ac:dyDescent="0.25">
      <c r="A49" s="599"/>
      <c r="B49" s="600"/>
      <c r="C49" s="601"/>
      <c r="D49" s="25"/>
      <c r="E49" s="546"/>
      <c r="F49" s="84"/>
      <c r="G49" s="547"/>
      <c r="H49" s="23"/>
      <c r="I49" s="27"/>
      <c r="J49" s="23"/>
      <c r="K49" s="58"/>
      <c r="L49" s="23"/>
      <c r="M49" s="34"/>
      <c r="N49" s="35"/>
      <c r="O49" s="77"/>
      <c r="P49" s="602"/>
      <c r="Q49" s="603"/>
      <c r="R49" s="604"/>
    </row>
    <row r="50" spans="1:18" x14ac:dyDescent="0.25">
      <c r="A50" s="599"/>
      <c r="B50" s="600"/>
      <c r="C50" s="601"/>
      <c r="D50" s="25"/>
      <c r="E50" s="546"/>
      <c r="F50" s="84"/>
      <c r="G50" s="555"/>
      <c r="H50" s="23"/>
      <c r="I50" s="27"/>
      <c r="J50" s="23"/>
      <c r="K50" s="58"/>
      <c r="L50" s="23"/>
      <c r="M50" s="34"/>
      <c r="N50" s="35"/>
      <c r="O50" s="77"/>
      <c r="P50" s="602"/>
      <c r="Q50" s="603"/>
      <c r="R50" s="604"/>
    </row>
    <row r="51" spans="1:18" x14ac:dyDescent="0.25">
      <c r="A51" s="609"/>
      <c r="B51" s="610"/>
      <c r="C51" s="611"/>
      <c r="D51" s="25"/>
      <c r="E51" s="546"/>
      <c r="F51" s="84"/>
      <c r="G51" s="547"/>
      <c r="H51" s="23"/>
      <c r="I51" s="546"/>
      <c r="J51" s="23"/>
      <c r="K51" s="58"/>
      <c r="L51" s="23"/>
      <c r="M51" s="34"/>
      <c r="N51" s="35"/>
      <c r="O51" s="77"/>
      <c r="P51" s="602"/>
      <c r="Q51" s="603"/>
      <c r="R51" s="604"/>
    </row>
    <row r="52" spans="1:18" x14ac:dyDescent="0.25">
      <c r="A52" s="599"/>
      <c r="B52" s="600"/>
      <c r="C52" s="601"/>
      <c r="D52" s="25"/>
      <c r="E52" s="546"/>
      <c r="F52" s="84"/>
      <c r="G52" s="547"/>
      <c r="H52" s="23"/>
      <c r="I52" s="546"/>
      <c r="J52" s="23"/>
      <c r="K52" s="58"/>
      <c r="L52" s="23"/>
      <c r="M52" s="34"/>
      <c r="N52" s="35"/>
      <c r="O52" s="77"/>
      <c r="P52" s="602"/>
      <c r="Q52" s="603"/>
      <c r="R52" s="604"/>
    </row>
    <row r="53" spans="1:18" x14ac:dyDescent="0.25">
      <c r="A53" s="599"/>
      <c r="B53" s="600"/>
      <c r="C53" s="601"/>
      <c r="D53" s="25"/>
      <c r="E53" s="546"/>
      <c r="F53" s="84"/>
      <c r="G53" s="547"/>
      <c r="H53" s="23"/>
      <c r="I53" s="546"/>
      <c r="J53" s="23"/>
      <c r="K53" s="61"/>
      <c r="L53" s="24"/>
      <c r="M53" s="34"/>
      <c r="N53" s="35"/>
      <c r="O53" s="77"/>
      <c r="P53" s="602"/>
      <c r="Q53" s="603"/>
      <c r="R53" s="604"/>
    </row>
    <row r="54" spans="1:18" x14ac:dyDescent="0.25">
      <c r="A54" s="599"/>
      <c r="B54" s="600"/>
      <c r="C54" s="601"/>
      <c r="D54" s="25"/>
      <c r="E54" s="546"/>
      <c r="F54" s="84"/>
      <c r="G54" s="547"/>
      <c r="H54" s="23"/>
      <c r="I54" s="546"/>
      <c r="J54" s="23"/>
      <c r="K54" s="60"/>
      <c r="L54" s="23"/>
      <c r="M54" s="32"/>
      <c r="N54" s="33"/>
      <c r="O54" s="77"/>
      <c r="P54" s="602"/>
      <c r="Q54" s="603"/>
      <c r="R54" s="604"/>
    </row>
    <row r="55" spans="1:18" x14ac:dyDescent="0.25">
      <c r="A55" s="599"/>
      <c r="B55" s="600"/>
      <c r="C55" s="601"/>
      <c r="D55" s="25"/>
      <c r="E55" s="546"/>
      <c r="F55" s="84"/>
      <c r="G55" s="547"/>
      <c r="H55" s="23"/>
      <c r="I55" s="546"/>
      <c r="J55" s="23"/>
      <c r="K55" s="58"/>
      <c r="L55" s="23"/>
      <c r="M55" s="34"/>
      <c r="N55" s="35"/>
      <c r="O55" s="77"/>
      <c r="P55" s="602"/>
      <c r="Q55" s="603"/>
      <c r="R55" s="604"/>
    </row>
    <row r="56" spans="1:18" x14ac:dyDescent="0.25">
      <c r="A56" s="612"/>
      <c r="B56" s="613"/>
      <c r="C56" s="614"/>
      <c r="D56" s="25"/>
      <c r="E56" s="546"/>
      <c r="F56" s="84"/>
      <c r="G56" s="547"/>
      <c r="H56" s="23"/>
      <c r="I56" s="546"/>
      <c r="J56" s="23"/>
      <c r="K56" s="58"/>
      <c r="L56" s="23"/>
      <c r="M56" s="34"/>
      <c r="N56" s="35"/>
      <c r="O56" s="77"/>
      <c r="P56" s="602"/>
      <c r="Q56" s="603"/>
      <c r="R56" s="604"/>
    </row>
    <row r="57" spans="1:18" x14ac:dyDescent="0.25">
      <c r="A57" s="599"/>
      <c r="B57" s="600"/>
      <c r="C57" s="601"/>
      <c r="D57" s="22"/>
      <c r="E57" s="546"/>
      <c r="F57" s="84"/>
      <c r="G57" s="547"/>
      <c r="H57" s="23"/>
      <c r="I57" s="546"/>
      <c r="J57" s="24"/>
      <c r="K57" s="58"/>
      <c r="L57" s="23"/>
      <c r="M57" s="34"/>
      <c r="N57" s="35"/>
      <c r="O57" s="77"/>
      <c r="P57" s="602"/>
      <c r="Q57" s="603"/>
      <c r="R57" s="604"/>
    </row>
    <row r="58" spans="1:18" x14ac:dyDescent="0.25">
      <c r="A58" s="599"/>
      <c r="B58" s="600"/>
      <c r="C58" s="601"/>
      <c r="D58" s="25"/>
      <c r="E58" s="546"/>
      <c r="F58" s="84"/>
      <c r="G58" s="547"/>
      <c r="H58" s="23"/>
      <c r="I58" s="27"/>
      <c r="J58" s="23"/>
      <c r="K58" s="58"/>
      <c r="L58" s="23"/>
      <c r="M58" s="34"/>
      <c r="N58" s="35"/>
      <c r="O58" s="77"/>
      <c r="P58" s="602"/>
      <c r="Q58" s="603"/>
      <c r="R58" s="604"/>
    </row>
    <row r="59" spans="1:18" x14ac:dyDescent="0.25">
      <c r="A59" s="599"/>
      <c r="B59" s="600"/>
      <c r="C59" s="601"/>
      <c r="D59" s="25"/>
      <c r="E59" s="546"/>
      <c r="F59" s="84"/>
      <c r="G59" s="547"/>
      <c r="H59" s="23"/>
      <c r="I59" s="546"/>
      <c r="J59" s="23"/>
      <c r="K59" s="61"/>
      <c r="L59" s="24"/>
      <c r="M59" s="34"/>
      <c r="N59" s="35"/>
      <c r="O59" s="77"/>
      <c r="P59" s="602"/>
      <c r="Q59" s="603"/>
      <c r="R59" s="604"/>
    </row>
    <row r="60" spans="1:18" x14ac:dyDescent="0.25">
      <c r="A60" s="625"/>
      <c r="B60" s="625"/>
      <c r="C60" s="615"/>
      <c r="D60" s="68"/>
      <c r="E60" s="58"/>
      <c r="F60" s="84"/>
      <c r="G60" s="84"/>
      <c r="H60" s="82"/>
      <c r="I60" s="58"/>
      <c r="J60" s="82"/>
      <c r="K60" s="60"/>
      <c r="L60" s="82"/>
      <c r="M60" s="67"/>
      <c r="N60" s="65"/>
      <c r="O60" s="66"/>
      <c r="P60" s="602"/>
      <c r="Q60" s="603"/>
      <c r="R60" s="604"/>
    </row>
    <row r="61" spans="1:18" x14ac:dyDescent="0.25">
      <c r="A61" s="622"/>
      <c r="B61" s="623"/>
      <c r="C61" s="624"/>
      <c r="D61" s="63"/>
      <c r="E61" s="551"/>
      <c r="F61" s="39"/>
      <c r="G61" s="552"/>
      <c r="H61" s="40"/>
      <c r="I61" s="551"/>
      <c r="J61" s="40"/>
      <c r="K61" s="64"/>
      <c r="L61" s="40"/>
      <c r="M61" s="551"/>
      <c r="N61" s="40"/>
      <c r="O61" s="83"/>
      <c r="P61" s="602"/>
      <c r="Q61" s="603"/>
      <c r="R61" s="604"/>
    </row>
    <row r="62" spans="1:18" x14ac:dyDescent="0.25">
      <c r="A62" s="599"/>
      <c r="B62" s="600"/>
      <c r="C62" s="601"/>
      <c r="D62" s="25"/>
      <c r="E62" s="546"/>
      <c r="F62" s="84"/>
      <c r="G62" s="547"/>
      <c r="H62" s="23"/>
      <c r="I62" s="546"/>
      <c r="J62" s="23"/>
      <c r="K62" s="58"/>
      <c r="L62" s="23"/>
      <c r="M62" s="546"/>
      <c r="N62" s="23"/>
      <c r="O62" s="77"/>
      <c r="P62" s="602"/>
      <c r="Q62" s="603"/>
      <c r="R62" s="604"/>
    </row>
    <row r="63" spans="1:18" x14ac:dyDescent="0.25">
      <c r="A63" s="599"/>
      <c r="B63" s="600"/>
      <c r="C63" s="601"/>
      <c r="D63" s="25"/>
      <c r="E63" s="546"/>
      <c r="F63" s="84"/>
      <c r="G63" s="547"/>
      <c r="H63" s="23"/>
      <c r="I63" s="546"/>
      <c r="J63" s="23"/>
      <c r="K63" s="58"/>
      <c r="L63" s="23"/>
      <c r="M63" s="546"/>
      <c r="N63" s="23"/>
      <c r="O63" s="77"/>
      <c r="P63" s="602"/>
      <c r="Q63" s="603"/>
      <c r="R63" s="604"/>
    </row>
    <row r="64" spans="1:18" x14ac:dyDescent="0.25">
      <c r="A64" s="599"/>
      <c r="B64" s="600"/>
      <c r="C64" s="601"/>
      <c r="D64" s="25"/>
      <c r="E64" s="546"/>
      <c r="F64" s="84"/>
      <c r="G64" s="547"/>
      <c r="H64" s="23"/>
      <c r="I64" s="546"/>
      <c r="J64" s="23"/>
      <c r="K64" s="58"/>
      <c r="L64" s="24"/>
      <c r="M64" s="546"/>
      <c r="N64" s="23"/>
      <c r="O64" s="77"/>
      <c r="P64" s="602"/>
      <c r="Q64" s="603"/>
      <c r="R64" s="604"/>
    </row>
    <row r="65" spans="1:18" x14ac:dyDescent="0.25">
      <c r="A65" s="599"/>
      <c r="B65" s="600"/>
      <c r="C65" s="601"/>
      <c r="D65" s="25"/>
      <c r="E65" s="546"/>
      <c r="F65" s="84"/>
      <c r="G65" s="547"/>
      <c r="H65" s="23"/>
      <c r="I65" s="546"/>
      <c r="J65" s="23"/>
      <c r="K65" s="60"/>
      <c r="L65" s="23"/>
      <c r="M65" s="32"/>
      <c r="N65" s="33"/>
      <c r="O65" s="559"/>
      <c r="P65" s="602"/>
      <c r="Q65" s="603"/>
      <c r="R65" s="604"/>
    </row>
    <row r="66" spans="1:18" x14ac:dyDescent="0.25">
      <c r="A66" s="599"/>
      <c r="B66" s="600"/>
      <c r="C66" s="601"/>
      <c r="D66" s="25"/>
      <c r="E66" s="546"/>
      <c r="F66" s="84"/>
      <c r="G66" s="547"/>
      <c r="H66" s="23"/>
      <c r="I66" s="546"/>
      <c r="J66" s="23"/>
      <c r="K66" s="58"/>
      <c r="L66" s="23"/>
      <c r="M66" s="34"/>
      <c r="N66" s="35"/>
      <c r="O66" s="77"/>
      <c r="P66" s="602"/>
      <c r="Q66" s="603"/>
      <c r="R66" s="604"/>
    </row>
    <row r="67" spans="1:18" x14ac:dyDescent="0.25">
      <c r="A67" s="612"/>
      <c r="B67" s="613"/>
      <c r="C67" s="614"/>
      <c r="D67" s="25"/>
      <c r="E67" s="546"/>
      <c r="F67" s="84"/>
      <c r="G67" s="547"/>
      <c r="H67" s="23"/>
      <c r="I67" s="546"/>
      <c r="J67" s="23"/>
      <c r="K67" s="58"/>
      <c r="L67" s="23"/>
      <c r="M67" s="34"/>
      <c r="N67" s="35"/>
      <c r="O67" s="77"/>
      <c r="P67" s="602"/>
      <c r="Q67" s="603"/>
      <c r="R67" s="604"/>
    </row>
    <row r="68" spans="1:18" x14ac:dyDescent="0.25">
      <c r="A68" s="609"/>
      <c r="B68" s="610"/>
      <c r="C68" s="611"/>
      <c r="D68" s="25"/>
      <c r="E68" s="546"/>
      <c r="F68" s="84"/>
      <c r="G68" s="547"/>
      <c r="H68" s="23"/>
      <c r="I68" s="546"/>
      <c r="J68" s="23"/>
      <c r="K68" s="58"/>
      <c r="L68" s="23"/>
      <c r="M68" s="34"/>
      <c r="N68" s="35"/>
      <c r="O68" s="77"/>
      <c r="P68" s="602"/>
      <c r="Q68" s="603"/>
      <c r="R68" s="604"/>
    </row>
    <row r="69" spans="1:18" x14ac:dyDescent="0.25">
      <c r="A69" s="599"/>
      <c r="B69" s="600"/>
      <c r="C69" s="601"/>
      <c r="D69" s="22"/>
      <c r="E69" s="546"/>
      <c r="F69" s="84"/>
      <c r="G69" s="547"/>
      <c r="H69" s="23"/>
      <c r="I69" s="546"/>
      <c r="J69" s="24"/>
      <c r="K69" s="59"/>
      <c r="L69" s="24"/>
      <c r="M69" s="34"/>
      <c r="N69" s="35"/>
      <c r="O69" s="77"/>
      <c r="P69" s="602"/>
      <c r="Q69" s="603"/>
      <c r="R69" s="604"/>
    </row>
    <row r="70" spans="1:18" x14ac:dyDescent="0.25">
      <c r="A70" s="599"/>
      <c r="B70" s="600"/>
      <c r="C70" s="601"/>
      <c r="D70" s="22"/>
      <c r="E70" s="546"/>
      <c r="F70" s="84"/>
      <c r="G70" s="547"/>
      <c r="H70" s="23"/>
      <c r="I70" s="546"/>
      <c r="J70" s="23"/>
      <c r="K70" s="58"/>
      <c r="L70" s="23"/>
      <c r="M70" s="34"/>
      <c r="N70" s="35"/>
      <c r="O70" s="77"/>
      <c r="P70" s="602"/>
      <c r="Q70" s="603"/>
      <c r="R70" s="604"/>
    </row>
    <row r="71" spans="1:18" x14ac:dyDescent="0.25">
      <c r="A71" s="599"/>
      <c r="B71" s="600"/>
      <c r="C71" s="601"/>
      <c r="D71" s="25"/>
      <c r="E71" s="546"/>
      <c r="F71" s="84"/>
      <c r="G71" s="547"/>
      <c r="H71" s="23"/>
      <c r="I71" s="27"/>
      <c r="J71" s="23"/>
      <c r="K71" s="58"/>
      <c r="L71" s="23"/>
      <c r="M71" s="34"/>
      <c r="N71" s="35"/>
      <c r="O71" s="77"/>
      <c r="P71" s="602"/>
      <c r="Q71" s="603"/>
      <c r="R71" s="604"/>
    </row>
    <row r="72" spans="1:18" x14ac:dyDescent="0.25">
      <c r="A72" s="609"/>
      <c r="B72" s="610"/>
      <c r="C72" s="611"/>
      <c r="D72" s="25"/>
      <c r="E72" s="546"/>
      <c r="F72" s="84"/>
      <c r="G72" s="547"/>
      <c r="H72" s="23"/>
      <c r="I72" s="546"/>
      <c r="J72" s="23"/>
      <c r="K72" s="58"/>
      <c r="L72" s="23"/>
      <c r="M72" s="34"/>
      <c r="N72" s="35"/>
      <c r="O72" s="77"/>
      <c r="P72" s="602"/>
      <c r="Q72" s="603"/>
      <c r="R72" s="604"/>
    </row>
    <row r="73" spans="1:18" x14ac:dyDescent="0.25">
      <c r="A73" s="599"/>
      <c r="B73" s="600"/>
      <c r="C73" s="601"/>
      <c r="D73" s="25"/>
      <c r="E73" s="546"/>
      <c r="F73" s="84"/>
      <c r="G73" s="547"/>
      <c r="H73" s="23"/>
      <c r="I73" s="546"/>
      <c r="J73" s="23"/>
      <c r="K73" s="58"/>
      <c r="L73" s="23"/>
      <c r="M73" s="34"/>
      <c r="N73" s="35"/>
      <c r="O73" s="77"/>
      <c r="P73" s="602"/>
      <c r="Q73" s="603"/>
      <c r="R73" s="604"/>
    </row>
    <row r="74" spans="1:18" x14ac:dyDescent="0.25">
      <c r="A74" s="599"/>
      <c r="B74" s="600"/>
      <c r="C74" s="601"/>
      <c r="D74" s="25"/>
      <c r="E74" s="546"/>
      <c r="F74" s="84"/>
      <c r="G74" s="547"/>
      <c r="H74" s="23"/>
      <c r="I74" s="546"/>
      <c r="J74" s="23"/>
      <c r="K74" s="58"/>
      <c r="L74" s="23"/>
      <c r="M74" s="34"/>
      <c r="N74" s="35"/>
      <c r="O74" s="77"/>
      <c r="P74" s="602"/>
      <c r="Q74" s="603"/>
      <c r="R74" s="604"/>
    </row>
    <row r="75" spans="1:18" x14ac:dyDescent="0.25">
      <c r="A75" s="599"/>
      <c r="B75" s="600"/>
      <c r="C75" s="601"/>
      <c r="D75" s="25"/>
      <c r="E75" s="546"/>
      <c r="F75" s="84"/>
      <c r="G75" s="547"/>
      <c r="H75" s="23"/>
      <c r="I75" s="546"/>
      <c r="J75" s="23"/>
      <c r="K75" s="58"/>
      <c r="L75" s="23"/>
      <c r="M75" s="34"/>
      <c r="N75" s="35"/>
      <c r="O75" s="77"/>
      <c r="P75" s="602"/>
      <c r="Q75" s="603"/>
      <c r="R75" s="604"/>
    </row>
    <row r="76" spans="1:18" x14ac:dyDescent="0.25">
      <c r="A76" s="599"/>
      <c r="B76" s="600"/>
      <c r="C76" s="601"/>
      <c r="D76" s="25"/>
      <c r="E76" s="546"/>
      <c r="F76" s="84"/>
      <c r="G76" s="547"/>
      <c r="H76" s="23"/>
      <c r="I76" s="27"/>
      <c r="J76" s="23"/>
      <c r="K76" s="58"/>
      <c r="L76" s="23"/>
      <c r="M76" s="34"/>
      <c r="N76" s="35"/>
      <c r="O76" s="77"/>
      <c r="P76" s="602"/>
      <c r="Q76" s="603"/>
      <c r="R76" s="604"/>
    </row>
    <row r="77" spans="1:18" x14ac:dyDescent="0.25">
      <c r="A77" s="616"/>
      <c r="B77" s="617"/>
      <c r="C77" s="618"/>
      <c r="D77" s="25"/>
      <c r="E77" s="546"/>
      <c r="F77" s="84"/>
      <c r="G77" s="547"/>
      <c r="H77" s="23"/>
      <c r="I77" s="546"/>
      <c r="J77" s="23"/>
      <c r="K77" s="58"/>
      <c r="L77" s="23"/>
      <c r="M77" s="34"/>
      <c r="N77" s="35"/>
      <c r="O77" s="77"/>
      <c r="P77" s="602"/>
      <c r="Q77" s="603"/>
      <c r="R77" s="604"/>
    </row>
    <row r="78" spans="1:18" x14ac:dyDescent="0.25">
      <c r="A78" s="626"/>
      <c r="B78" s="627"/>
      <c r="C78" s="628"/>
      <c r="D78" s="25"/>
      <c r="E78" s="546"/>
      <c r="F78" s="84"/>
      <c r="G78" s="547"/>
      <c r="H78" s="23"/>
      <c r="I78" s="546"/>
      <c r="J78" s="23"/>
      <c r="K78" s="58"/>
      <c r="L78" s="23"/>
      <c r="M78" s="34"/>
      <c r="N78" s="35"/>
      <c r="O78" s="77"/>
      <c r="P78" s="602"/>
      <c r="Q78" s="603"/>
      <c r="R78" s="604"/>
    </row>
    <row r="79" spans="1:18" x14ac:dyDescent="0.25">
      <c r="A79" s="626"/>
      <c r="B79" s="627"/>
      <c r="C79" s="628"/>
      <c r="D79" s="25"/>
      <c r="E79" s="546"/>
      <c r="F79" s="84"/>
      <c r="G79" s="547"/>
      <c r="H79" s="23"/>
      <c r="I79" s="546"/>
      <c r="J79" s="23"/>
      <c r="K79" s="58"/>
      <c r="L79" s="23"/>
      <c r="M79" s="34"/>
      <c r="N79" s="35"/>
      <c r="O79" s="77"/>
      <c r="P79" s="602"/>
      <c r="Q79" s="603"/>
      <c r="R79" s="604"/>
    </row>
    <row r="80" spans="1:18" x14ac:dyDescent="0.25">
      <c r="A80" s="626"/>
      <c r="B80" s="627"/>
      <c r="C80" s="628"/>
      <c r="D80" s="25"/>
      <c r="E80" s="546"/>
      <c r="F80" s="84"/>
      <c r="G80" s="547"/>
      <c r="H80" s="23"/>
      <c r="I80" s="546"/>
      <c r="J80" s="23"/>
      <c r="K80" s="58"/>
      <c r="L80" s="23"/>
      <c r="M80" s="34"/>
      <c r="N80" s="35"/>
      <c r="O80" s="77"/>
      <c r="P80" s="602"/>
      <c r="Q80" s="603"/>
      <c r="R80" s="604"/>
    </row>
    <row r="81" spans="1:18" x14ac:dyDescent="0.25">
      <c r="A81" s="626"/>
      <c r="B81" s="627"/>
      <c r="C81" s="628"/>
      <c r="D81" s="25"/>
      <c r="E81" s="546"/>
      <c r="F81" s="84"/>
      <c r="G81" s="547"/>
      <c r="H81" s="23"/>
      <c r="I81" s="546"/>
      <c r="J81" s="23"/>
      <c r="K81" s="58"/>
      <c r="L81" s="23"/>
      <c r="M81" s="34"/>
      <c r="N81" s="35"/>
      <c r="O81" s="77"/>
      <c r="P81" s="602"/>
      <c r="Q81" s="603"/>
      <c r="R81" s="604"/>
    </row>
    <row r="82" spans="1:18" x14ac:dyDescent="0.25">
      <c r="A82" s="622"/>
      <c r="B82" s="623"/>
      <c r="C82" s="624"/>
      <c r="D82" s="25"/>
      <c r="E82" s="546"/>
      <c r="F82" s="84"/>
      <c r="G82" s="547"/>
      <c r="H82" s="23"/>
      <c r="I82" s="546"/>
      <c r="J82" s="23"/>
      <c r="K82" s="58"/>
      <c r="L82" s="23"/>
      <c r="M82" s="34"/>
      <c r="N82" s="35"/>
      <c r="O82" s="77"/>
      <c r="P82" s="602"/>
      <c r="Q82" s="603"/>
      <c r="R82" s="604"/>
    </row>
    <row r="83" spans="1:18" x14ac:dyDescent="0.25">
      <c r="A83" s="609"/>
      <c r="B83" s="610"/>
      <c r="C83" s="611"/>
      <c r="D83" s="25"/>
      <c r="E83" s="546"/>
      <c r="F83" s="84"/>
      <c r="G83" s="547"/>
      <c r="H83" s="23"/>
      <c r="I83" s="546"/>
      <c r="J83" s="23"/>
      <c r="K83" s="58"/>
      <c r="L83" s="23"/>
      <c r="M83" s="34"/>
      <c r="N83" s="35"/>
      <c r="O83" s="77"/>
      <c r="P83" s="602"/>
      <c r="Q83" s="603"/>
      <c r="R83" s="604"/>
    </row>
    <row r="84" spans="1:18" x14ac:dyDescent="0.25">
      <c r="A84" s="599"/>
      <c r="B84" s="600"/>
      <c r="C84" s="601"/>
      <c r="D84" s="22"/>
      <c r="E84" s="546"/>
      <c r="F84" s="84"/>
      <c r="G84" s="547"/>
      <c r="H84" s="23"/>
      <c r="I84" s="546"/>
      <c r="J84" s="23"/>
      <c r="K84" s="58"/>
      <c r="L84" s="23"/>
      <c r="M84" s="34"/>
      <c r="N84" s="35"/>
      <c r="O84" s="77"/>
      <c r="P84" s="602"/>
      <c r="Q84" s="603"/>
      <c r="R84" s="604"/>
    </row>
    <row r="85" spans="1:18" x14ac:dyDescent="0.25">
      <c r="A85" s="599"/>
      <c r="B85" s="600"/>
      <c r="C85" s="601"/>
      <c r="D85" s="25"/>
      <c r="E85" s="546"/>
      <c r="F85" s="84"/>
      <c r="G85" s="547"/>
      <c r="H85" s="23"/>
      <c r="I85" s="546"/>
      <c r="J85" s="23"/>
      <c r="K85" s="58"/>
      <c r="L85" s="24"/>
      <c r="M85" s="34"/>
      <c r="N85" s="35"/>
      <c r="O85" s="77"/>
      <c r="P85" s="602"/>
      <c r="Q85" s="603"/>
      <c r="R85" s="604"/>
    </row>
    <row r="86" spans="1:18" x14ac:dyDescent="0.25">
      <c r="A86" s="599"/>
      <c r="B86" s="600"/>
      <c r="C86" s="601"/>
      <c r="D86" s="25"/>
      <c r="E86" s="546"/>
      <c r="F86" s="84"/>
      <c r="G86" s="547"/>
      <c r="H86" s="23"/>
      <c r="I86" s="546"/>
      <c r="J86" s="23"/>
      <c r="K86" s="60"/>
      <c r="L86" s="23"/>
      <c r="M86" s="32"/>
      <c r="N86" s="33"/>
      <c r="O86" s="77"/>
      <c r="P86" s="602"/>
      <c r="Q86" s="603"/>
      <c r="R86" s="604"/>
    </row>
    <row r="87" spans="1:18" x14ac:dyDescent="0.25">
      <c r="A87" s="599"/>
      <c r="B87" s="600"/>
      <c r="C87" s="601"/>
      <c r="D87" s="25"/>
      <c r="E87" s="546"/>
      <c r="F87" s="84"/>
      <c r="G87" s="547"/>
      <c r="H87" s="23"/>
      <c r="I87" s="546"/>
      <c r="J87" s="23"/>
      <c r="K87" s="58"/>
      <c r="L87" s="23"/>
      <c r="M87" s="34"/>
      <c r="N87" s="35"/>
      <c r="O87" s="77"/>
      <c r="P87" s="602"/>
      <c r="Q87" s="603"/>
      <c r="R87" s="604"/>
    </row>
    <row r="88" spans="1:18" x14ac:dyDescent="0.25">
      <c r="A88" s="612"/>
      <c r="B88" s="613"/>
      <c r="C88" s="614"/>
      <c r="D88" s="25"/>
      <c r="E88" s="546"/>
      <c r="F88" s="84"/>
      <c r="G88" s="547"/>
      <c r="H88" s="23"/>
      <c r="I88" s="546"/>
      <c r="J88" s="23"/>
      <c r="K88" s="58"/>
      <c r="L88" s="23"/>
      <c r="M88" s="34"/>
      <c r="N88" s="35"/>
      <c r="O88" s="77"/>
      <c r="P88" s="602"/>
      <c r="Q88" s="603"/>
      <c r="R88" s="604"/>
    </row>
    <row r="89" spans="1:18" x14ac:dyDescent="0.25">
      <c r="A89" s="609"/>
      <c r="B89" s="610"/>
      <c r="C89" s="611"/>
      <c r="D89" s="25"/>
      <c r="E89" s="546"/>
      <c r="F89" s="84"/>
      <c r="G89" s="547"/>
      <c r="H89" s="23"/>
      <c r="I89" s="546"/>
      <c r="J89" s="23"/>
      <c r="K89" s="58"/>
      <c r="L89" s="23"/>
      <c r="M89" s="34"/>
      <c r="N89" s="35"/>
      <c r="O89" s="77"/>
      <c r="P89" s="602"/>
      <c r="Q89" s="603"/>
      <c r="R89" s="604"/>
    </row>
    <row r="90" spans="1:18" x14ac:dyDescent="0.25">
      <c r="A90" s="599"/>
      <c r="B90" s="600"/>
      <c r="C90" s="601"/>
      <c r="D90" s="25"/>
      <c r="E90" s="546"/>
      <c r="F90" s="84"/>
      <c r="G90" s="547"/>
      <c r="H90" s="23"/>
      <c r="I90" s="27"/>
      <c r="J90" s="23"/>
      <c r="K90" s="58"/>
      <c r="L90" s="23"/>
      <c r="M90" s="34"/>
      <c r="N90" s="35"/>
      <c r="O90" s="77"/>
      <c r="P90" s="602"/>
      <c r="Q90" s="603"/>
      <c r="R90" s="604"/>
    </row>
    <row r="91" spans="1:18" x14ac:dyDescent="0.25">
      <c r="A91" s="599"/>
      <c r="B91" s="600"/>
      <c r="C91" s="601"/>
      <c r="D91" s="25"/>
      <c r="E91" s="546"/>
      <c r="F91" s="84"/>
      <c r="G91" s="547"/>
      <c r="H91" s="23"/>
      <c r="I91" s="546"/>
      <c r="J91" s="23"/>
      <c r="K91" s="58"/>
      <c r="L91" s="23"/>
      <c r="M91" s="34"/>
      <c r="N91" s="35"/>
      <c r="O91" s="77"/>
      <c r="P91" s="602"/>
      <c r="Q91" s="603"/>
      <c r="R91" s="604"/>
    </row>
    <row r="92" spans="1:18" x14ac:dyDescent="0.25">
      <c r="A92" s="609"/>
      <c r="B92" s="610"/>
      <c r="C92" s="611"/>
      <c r="D92" s="25"/>
      <c r="E92" s="546"/>
      <c r="F92" s="84"/>
      <c r="G92" s="547"/>
      <c r="H92" s="23"/>
      <c r="I92" s="546"/>
      <c r="J92" s="23"/>
      <c r="K92" s="58"/>
      <c r="L92" s="23"/>
      <c r="M92" s="34"/>
      <c r="N92" s="35"/>
      <c r="O92" s="77"/>
      <c r="P92" s="602"/>
      <c r="Q92" s="603"/>
      <c r="R92" s="604"/>
    </row>
    <row r="93" spans="1:18" x14ac:dyDescent="0.25">
      <c r="A93" s="599"/>
      <c r="B93" s="600"/>
      <c r="C93" s="601"/>
      <c r="D93" s="25"/>
      <c r="E93" s="546"/>
      <c r="F93" s="84"/>
      <c r="G93" s="547"/>
      <c r="H93" s="23"/>
      <c r="I93" s="27"/>
      <c r="J93" s="23"/>
      <c r="K93" s="58"/>
      <c r="L93" s="23"/>
      <c r="M93" s="34"/>
      <c r="N93" s="35"/>
      <c r="O93" s="77"/>
      <c r="P93" s="602"/>
      <c r="Q93" s="603"/>
      <c r="R93" s="604"/>
    </row>
    <row r="94" spans="1:18" x14ac:dyDescent="0.25">
      <c r="A94" s="599"/>
      <c r="B94" s="600"/>
      <c r="C94" s="601"/>
      <c r="D94" s="25"/>
      <c r="E94" s="546"/>
      <c r="F94" s="84"/>
      <c r="G94" s="547"/>
      <c r="H94" s="23"/>
      <c r="I94" s="27"/>
      <c r="J94" s="23"/>
      <c r="K94" s="58"/>
      <c r="L94" s="23"/>
      <c r="M94" s="34"/>
      <c r="N94" s="35"/>
      <c r="O94" s="77"/>
      <c r="P94" s="602"/>
      <c r="Q94" s="603"/>
      <c r="R94" s="604"/>
    </row>
    <row r="95" spans="1:18" x14ac:dyDescent="0.25">
      <c r="A95" s="599"/>
      <c r="B95" s="600"/>
      <c r="C95" s="601"/>
      <c r="D95" s="25"/>
      <c r="E95" s="546"/>
      <c r="F95" s="84"/>
      <c r="G95" s="547"/>
      <c r="H95" s="23"/>
      <c r="I95" s="27"/>
      <c r="J95" s="23"/>
      <c r="K95" s="58"/>
      <c r="L95" s="23"/>
      <c r="M95" s="34"/>
      <c r="N95" s="35"/>
      <c r="O95" s="77"/>
      <c r="P95" s="602"/>
      <c r="Q95" s="603"/>
      <c r="R95" s="604"/>
    </row>
    <row r="96" spans="1:18" x14ac:dyDescent="0.25">
      <c r="A96" s="609"/>
      <c r="B96" s="610"/>
      <c r="C96" s="611"/>
      <c r="D96" s="25"/>
      <c r="E96" s="546"/>
      <c r="F96" s="84"/>
      <c r="G96" s="547"/>
      <c r="H96" s="23"/>
      <c r="I96" s="546"/>
      <c r="J96" s="23"/>
      <c r="K96" s="58"/>
      <c r="L96" s="23"/>
      <c r="M96" s="34"/>
      <c r="N96" s="35"/>
      <c r="O96" s="77"/>
      <c r="P96" s="602"/>
      <c r="Q96" s="603"/>
      <c r="R96" s="604"/>
    </row>
    <row r="97" spans="1:18" x14ac:dyDescent="0.25">
      <c r="A97" s="599"/>
      <c r="B97" s="600"/>
      <c r="C97" s="601"/>
      <c r="D97" s="25"/>
      <c r="E97" s="546"/>
      <c r="F97" s="84"/>
      <c r="G97" s="547"/>
      <c r="H97" s="23"/>
      <c r="I97" s="27"/>
      <c r="J97" s="24"/>
      <c r="K97" s="58"/>
      <c r="L97" s="23"/>
      <c r="M97" s="34"/>
      <c r="N97" s="35"/>
      <c r="O97" s="77"/>
      <c r="P97" s="602"/>
      <c r="Q97" s="603"/>
      <c r="R97" s="604"/>
    </row>
    <row r="98" spans="1:18" x14ac:dyDescent="0.25">
      <c r="A98" s="599"/>
      <c r="B98" s="600"/>
      <c r="C98" s="601"/>
      <c r="D98" s="25"/>
      <c r="E98" s="546"/>
      <c r="F98" s="84"/>
      <c r="G98" s="547"/>
      <c r="H98" s="23"/>
      <c r="I98" s="27"/>
      <c r="J98" s="23"/>
      <c r="K98" s="58"/>
      <c r="L98" s="23"/>
      <c r="M98" s="34"/>
      <c r="N98" s="35"/>
      <c r="O98" s="77"/>
      <c r="P98" s="602"/>
      <c r="Q98" s="603"/>
      <c r="R98" s="604"/>
    </row>
    <row r="99" spans="1:18" x14ac:dyDescent="0.25">
      <c r="A99" s="599"/>
      <c r="B99" s="600"/>
      <c r="C99" s="601"/>
      <c r="D99" s="25"/>
      <c r="E99" s="546"/>
      <c r="F99" s="84"/>
      <c r="G99" s="547"/>
      <c r="H99" s="23"/>
      <c r="I99" s="27"/>
      <c r="J99" s="23"/>
      <c r="K99" s="58"/>
      <c r="L99" s="23"/>
      <c r="M99" s="34"/>
      <c r="N99" s="35"/>
      <c r="O99" s="77"/>
      <c r="P99" s="602"/>
      <c r="Q99" s="603"/>
      <c r="R99" s="604"/>
    </row>
    <row r="100" spans="1:18" x14ac:dyDescent="0.25">
      <c r="A100" s="599"/>
      <c r="B100" s="600"/>
      <c r="C100" s="601"/>
      <c r="D100" s="25"/>
      <c r="E100" s="546"/>
      <c r="F100" s="84"/>
      <c r="G100" s="547"/>
      <c r="H100" s="23"/>
      <c r="I100" s="27"/>
      <c r="J100" s="23"/>
      <c r="K100" s="58"/>
      <c r="L100" s="23"/>
      <c r="M100" s="34"/>
      <c r="N100" s="35"/>
      <c r="O100" s="77"/>
      <c r="P100" s="602"/>
      <c r="Q100" s="603"/>
      <c r="R100" s="604"/>
    </row>
    <row r="101" spans="1:18" x14ac:dyDescent="0.25">
      <c r="A101" s="599"/>
      <c r="B101" s="600"/>
      <c r="C101" s="601"/>
      <c r="D101" s="25"/>
      <c r="E101" s="546"/>
      <c r="F101" s="84"/>
      <c r="G101" s="555"/>
      <c r="H101" s="23"/>
      <c r="I101" s="27"/>
      <c r="J101" s="23"/>
      <c r="K101" s="58"/>
      <c r="L101" s="23"/>
      <c r="M101" s="34"/>
      <c r="N101" s="35"/>
      <c r="O101" s="77"/>
      <c r="P101" s="602"/>
      <c r="Q101" s="603"/>
      <c r="R101" s="604"/>
    </row>
    <row r="102" spans="1:18" x14ac:dyDescent="0.25">
      <c r="A102" s="609"/>
      <c r="B102" s="610"/>
      <c r="C102" s="611"/>
      <c r="D102" s="25"/>
      <c r="E102" s="546"/>
      <c r="F102" s="84"/>
      <c r="G102" s="547"/>
      <c r="H102" s="23"/>
      <c r="I102" s="546"/>
      <c r="J102" s="23"/>
      <c r="K102" s="58"/>
      <c r="L102" s="23"/>
      <c r="M102" s="34"/>
      <c r="N102" s="35"/>
      <c r="O102" s="77"/>
      <c r="P102" s="602"/>
      <c r="Q102" s="603"/>
      <c r="R102" s="604"/>
    </row>
    <row r="103" spans="1:18" x14ac:dyDescent="0.25">
      <c r="A103" s="599"/>
      <c r="B103" s="600"/>
      <c r="C103" s="601"/>
      <c r="D103" s="25"/>
      <c r="E103" s="546"/>
      <c r="F103" s="84"/>
      <c r="G103" s="547"/>
      <c r="H103" s="23"/>
      <c r="I103" s="546"/>
      <c r="J103" s="23"/>
      <c r="K103" s="58"/>
      <c r="L103" s="23"/>
      <c r="M103" s="34"/>
      <c r="N103" s="35"/>
      <c r="O103" s="77"/>
      <c r="P103" s="602"/>
      <c r="Q103" s="603"/>
      <c r="R103" s="604"/>
    </row>
    <row r="104" spans="1:18" x14ac:dyDescent="0.25">
      <c r="A104" s="599"/>
      <c r="B104" s="600"/>
      <c r="C104" s="601"/>
      <c r="D104" s="25"/>
      <c r="E104" s="546"/>
      <c r="F104" s="84"/>
      <c r="G104" s="547"/>
      <c r="H104" s="23"/>
      <c r="I104" s="546"/>
      <c r="J104" s="23"/>
      <c r="K104" s="61"/>
      <c r="L104" s="24"/>
      <c r="M104" s="34"/>
      <c r="N104" s="35"/>
      <c r="O104" s="77"/>
      <c r="P104" s="602"/>
      <c r="Q104" s="603"/>
      <c r="R104" s="604"/>
    </row>
    <row r="105" spans="1:18" x14ac:dyDescent="0.25">
      <c r="A105" s="599"/>
      <c r="B105" s="600"/>
      <c r="C105" s="601"/>
      <c r="D105" s="25"/>
      <c r="E105" s="546"/>
      <c r="F105" s="84"/>
      <c r="G105" s="547"/>
      <c r="H105" s="23"/>
      <c r="I105" s="546"/>
      <c r="J105" s="23"/>
      <c r="K105" s="60"/>
      <c r="L105" s="23"/>
      <c r="M105" s="32"/>
      <c r="N105" s="33"/>
      <c r="O105" s="77"/>
      <c r="P105" s="602"/>
      <c r="Q105" s="603"/>
      <c r="R105" s="604"/>
    </row>
    <row r="106" spans="1:18" x14ac:dyDescent="0.25">
      <c r="A106" s="599"/>
      <c r="B106" s="600"/>
      <c r="C106" s="601"/>
      <c r="D106" s="25"/>
      <c r="E106" s="546"/>
      <c r="F106" s="84"/>
      <c r="G106" s="547"/>
      <c r="H106" s="23"/>
      <c r="I106" s="546"/>
      <c r="J106" s="23"/>
      <c r="K106" s="58"/>
      <c r="L106" s="23"/>
      <c r="M106" s="34"/>
      <c r="N106" s="35"/>
      <c r="O106" s="77"/>
      <c r="P106" s="602"/>
      <c r="Q106" s="603"/>
      <c r="R106" s="604"/>
    </row>
    <row r="107" spans="1:18" x14ac:dyDescent="0.25">
      <c r="A107" s="612"/>
      <c r="B107" s="613"/>
      <c r="C107" s="614"/>
      <c r="D107" s="25"/>
      <c r="E107" s="546"/>
      <c r="F107" s="84"/>
      <c r="G107" s="547"/>
      <c r="H107" s="23"/>
      <c r="I107" s="546"/>
      <c r="J107" s="23"/>
      <c r="K107" s="58"/>
      <c r="L107" s="23"/>
      <c r="M107" s="34"/>
      <c r="N107" s="35"/>
      <c r="O107" s="77"/>
      <c r="P107" s="602"/>
      <c r="Q107" s="603"/>
      <c r="R107" s="604"/>
    </row>
    <row r="108" spans="1:18" x14ac:dyDescent="0.25">
      <c r="A108" s="599"/>
      <c r="B108" s="600"/>
      <c r="C108" s="601"/>
      <c r="D108" s="22"/>
      <c r="E108" s="546"/>
      <c r="F108" s="84"/>
      <c r="G108" s="547"/>
      <c r="H108" s="23"/>
      <c r="I108" s="546"/>
      <c r="J108" s="24"/>
      <c r="K108" s="58"/>
      <c r="L108" s="23"/>
      <c r="M108" s="34"/>
      <c r="N108" s="35"/>
      <c r="O108" s="77"/>
      <c r="P108" s="602"/>
      <c r="Q108" s="603"/>
      <c r="R108" s="604"/>
    </row>
    <row r="109" spans="1:18" x14ac:dyDescent="0.25">
      <c r="A109" s="599"/>
      <c r="B109" s="600"/>
      <c r="C109" s="601"/>
      <c r="D109" s="25"/>
      <c r="E109" s="546"/>
      <c r="F109" s="84"/>
      <c r="G109" s="547"/>
      <c r="H109" s="23"/>
      <c r="I109" s="27"/>
      <c r="J109" s="23"/>
      <c r="K109" s="58"/>
      <c r="L109" s="23"/>
      <c r="M109" s="34"/>
      <c r="N109" s="35"/>
      <c r="O109" s="77"/>
      <c r="P109" s="602"/>
      <c r="Q109" s="603"/>
      <c r="R109" s="604"/>
    </row>
    <row r="110" spans="1:18" x14ac:dyDescent="0.25">
      <c r="A110" s="599"/>
      <c r="B110" s="600"/>
      <c r="C110" s="601"/>
      <c r="D110" s="25"/>
      <c r="E110" s="546"/>
      <c r="F110" s="84"/>
      <c r="G110" s="547"/>
      <c r="H110" s="23"/>
      <c r="I110" s="546"/>
      <c r="J110" s="23"/>
      <c r="K110" s="61"/>
      <c r="L110" s="24"/>
      <c r="M110" s="34"/>
      <c r="N110" s="35"/>
      <c r="O110" s="77"/>
      <c r="P110" s="602"/>
      <c r="Q110" s="603"/>
      <c r="R110" s="604"/>
    </row>
    <row r="111" spans="1:18" x14ac:dyDescent="0.25">
      <c r="A111" s="629"/>
      <c r="B111" s="630"/>
      <c r="C111" s="631"/>
      <c r="D111" s="28"/>
      <c r="E111" s="548"/>
      <c r="F111" s="29"/>
      <c r="G111" s="549"/>
      <c r="H111" s="30"/>
      <c r="I111" s="548"/>
      <c r="J111" s="30"/>
      <c r="K111" s="62"/>
      <c r="L111" s="30"/>
      <c r="M111" s="36"/>
      <c r="N111" s="37"/>
      <c r="O111" s="46"/>
      <c r="P111" s="632"/>
      <c r="Q111" s="633"/>
      <c r="R111" s="634"/>
    </row>
  </sheetData>
  <mergeCells count="219">
    <mergeCell ref="A109:C109"/>
    <mergeCell ref="P109:R109"/>
    <mergeCell ref="A110:C110"/>
    <mergeCell ref="P110:R110"/>
    <mergeCell ref="A111:C111"/>
    <mergeCell ref="P111:R111"/>
    <mergeCell ref="A106:C106"/>
    <mergeCell ref="P106:R106"/>
    <mergeCell ref="A107:C107"/>
    <mergeCell ref="P107:R107"/>
    <mergeCell ref="A108:C108"/>
    <mergeCell ref="P108:R108"/>
    <mergeCell ref="A103:C103"/>
    <mergeCell ref="P103:R103"/>
    <mergeCell ref="A104:C104"/>
    <mergeCell ref="P104:R104"/>
    <mergeCell ref="A105:C105"/>
    <mergeCell ref="P105:R105"/>
    <mergeCell ref="A100:C100"/>
    <mergeCell ref="P100:R100"/>
    <mergeCell ref="A101:C101"/>
    <mergeCell ref="P101:R101"/>
    <mergeCell ref="A102:C102"/>
    <mergeCell ref="P102:R102"/>
    <mergeCell ref="A97:C97"/>
    <mergeCell ref="P97:R97"/>
    <mergeCell ref="A98:C98"/>
    <mergeCell ref="P98:R98"/>
    <mergeCell ref="A99:C99"/>
    <mergeCell ref="P99:R99"/>
    <mergeCell ref="A94:C94"/>
    <mergeCell ref="P94:R94"/>
    <mergeCell ref="A95:C95"/>
    <mergeCell ref="P95:R95"/>
    <mergeCell ref="A96:C96"/>
    <mergeCell ref="P96:R96"/>
    <mergeCell ref="A91:C91"/>
    <mergeCell ref="P91:R91"/>
    <mergeCell ref="A92:C92"/>
    <mergeCell ref="P92:R92"/>
    <mergeCell ref="A93:C93"/>
    <mergeCell ref="P93:R93"/>
    <mergeCell ref="A88:C88"/>
    <mergeCell ref="P88:R88"/>
    <mergeCell ref="A89:C89"/>
    <mergeCell ref="P89:R89"/>
    <mergeCell ref="A90:C90"/>
    <mergeCell ref="P90:R90"/>
    <mergeCell ref="A85:C85"/>
    <mergeCell ref="P85:R85"/>
    <mergeCell ref="A86:C86"/>
    <mergeCell ref="P86:R86"/>
    <mergeCell ref="A87:C87"/>
    <mergeCell ref="P87:R87"/>
    <mergeCell ref="A82:C82"/>
    <mergeCell ref="P82:R82"/>
    <mergeCell ref="A83:C83"/>
    <mergeCell ref="P83:R83"/>
    <mergeCell ref="A84:C84"/>
    <mergeCell ref="P84:R84"/>
    <mergeCell ref="A79:C79"/>
    <mergeCell ref="P79:R79"/>
    <mergeCell ref="A80:C80"/>
    <mergeCell ref="P80:R80"/>
    <mergeCell ref="A81:C81"/>
    <mergeCell ref="P81:R81"/>
    <mergeCell ref="A76:C76"/>
    <mergeCell ref="P76:R76"/>
    <mergeCell ref="A77:C77"/>
    <mergeCell ref="P77:R77"/>
    <mergeCell ref="A78:C78"/>
    <mergeCell ref="P78:R78"/>
    <mergeCell ref="A73:C73"/>
    <mergeCell ref="P73:R73"/>
    <mergeCell ref="A74:C74"/>
    <mergeCell ref="P74:R74"/>
    <mergeCell ref="A75:C75"/>
    <mergeCell ref="P75:R75"/>
    <mergeCell ref="A70:C70"/>
    <mergeCell ref="P70:R70"/>
    <mergeCell ref="A71:C71"/>
    <mergeCell ref="P71:R71"/>
    <mergeCell ref="A72:C72"/>
    <mergeCell ref="P72:R72"/>
    <mergeCell ref="A67:C67"/>
    <mergeCell ref="P67:R67"/>
    <mergeCell ref="A68:C68"/>
    <mergeCell ref="P68:R68"/>
    <mergeCell ref="A69:C69"/>
    <mergeCell ref="P69:R69"/>
    <mergeCell ref="A64:C64"/>
    <mergeCell ref="P64:R64"/>
    <mergeCell ref="A65:C65"/>
    <mergeCell ref="P65:R65"/>
    <mergeCell ref="A66:C66"/>
    <mergeCell ref="P66:R66"/>
    <mergeCell ref="A61:C61"/>
    <mergeCell ref="P61:R61"/>
    <mergeCell ref="A62:C62"/>
    <mergeCell ref="P62:R62"/>
    <mergeCell ref="A63:C63"/>
    <mergeCell ref="P63:R63"/>
    <mergeCell ref="A58:C58"/>
    <mergeCell ref="P58:R58"/>
    <mergeCell ref="A59:C59"/>
    <mergeCell ref="P59:R59"/>
    <mergeCell ref="A60:C60"/>
    <mergeCell ref="P60:R60"/>
    <mergeCell ref="A55:C55"/>
    <mergeCell ref="P55:R55"/>
    <mergeCell ref="A56:C56"/>
    <mergeCell ref="P56:R56"/>
    <mergeCell ref="A57:C57"/>
    <mergeCell ref="P57:R57"/>
    <mergeCell ref="A52:C52"/>
    <mergeCell ref="P52:R52"/>
    <mergeCell ref="A53:C53"/>
    <mergeCell ref="P53:R53"/>
    <mergeCell ref="A54:C54"/>
    <mergeCell ref="P54:R54"/>
    <mergeCell ref="A49:C49"/>
    <mergeCell ref="P49:R49"/>
    <mergeCell ref="A50:C50"/>
    <mergeCell ref="P50:R50"/>
    <mergeCell ref="A51:C51"/>
    <mergeCell ref="P51:R51"/>
    <mergeCell ref="A46:C46"/>
    <mergeCell ref="P46:R46"/>
    <mergeCell ref="A47:C47"/>
    <mergeCell ref="P47:R47"/>
    <mergeCell ref="A48:C48"/>
    <mergeCell ref="P48:R48"/>
    <mergeCell ref="A43:C43"/>
    <mergeCell ref="P43:R43"/>
    <mergeCell ref="A44:C44"/>
    <mergeCell ref="P44:R44"/>
    <mergeCell ref="A45:C45"/>
    <mergeCell ref="P45:R45"/>
    <mergeCell ref="A40:C40"/>
    <mergeCell ref="P40:R40"/>
    <mergeCell ref="A41:C41"/>
    <mergeCell ref="P41:R41"/>
    <mergeCell ref="A42:C42"/>
    <mergeCell ref="P42:R42"/>
    <mergeCell ref="A37:C37"/>
    <mergeCell ref="P37:R37"/>
    <mergeCell ref="A38:C38"/>
    <mergeCell ref="P38:R38"/>
    <mergeCell ref="A39:C39"/>
    <mergeCell ref="P39:R39"/>
    <mergeCell ref="A34:C34"/>
    <mergeCell ref="P34:R34"/>
    <mergeCell ref="A35:C35"/>
    <mergeCell ref="P35:R35"/>
    <mergeCell ref="A36:C36"/>
    <mergeCell ref="P36:R36"/>
    <mergeCell ref="A31:C31"/>
    <mergeCell ref="P31:R31"/>
    <mergeCell ref="A32:C32"/>
    <mergeCell ref="P32:R32"/>
    <mergeCell ref="A33:C33"/>
    <mergeCell ref="P33:R33"/>
    <mergeCell ref="A28:C28"/>
    <mergeCell ref="P28:R28"/>
    <mergeCell ref="A29:C29"/>
    <mergeCell ref="P29:R29"/>
    <mergeCell ref="A30:C30"/>
    <mergeCell ref="P30:R30"/>
    <mergeCell ref="A25:C25"/>
    <mergeCell ref="P25:R25"/>
    <mergeCell ref="A26:C26"/>
    <mergeCell ref="P26:R26"/>
    <mergeCell ref="A27:C27"/>
    <mergeCell ref="P27:R27"/>
    <mergeCell ref="A22:C22"/>
    <mergeCell ref="P22:R22"/>
    <mergeCell ref="A23:C23"/>
    <mergeCell ref="P23:R23"/>
    <mergeCell ref="A24:C24"/>
    <mergeCell ref="P24:R24"/>
    <mergeCell ref="A19:C19"/>
    <mergeCell ref="P19:R19"/>
    <mergeCell ref="A20:C20"/>
    <mergeCell ref="P20:R20"/>
    <mergeCell ref="A21:C21"/>
    <mergeCell ref="P21:R21"/>
    <mergeCell ref="A16:C16"/>
    <mergeCell ref="P16:R16"/>
    <mergeCell ref="A17:C17"/>
    <mergeCell ref="P17:R17"/>
    <mergeCell ref="A18:C18"/>
    <mergeCell ref="P18:R18"/>
    <mergeCell ref="A13:C13"/>
    <mergeCell ref="P13:R13"/>
    <mergeCell ref="A14:C14"/>
    <mergeCell ref="P14:R14"/>
    <mergeCell ref="A15:C15"/>
    <mergeCell ref="P15:R15"/>
    <mergeCell ref="A10:C10"/>
    <mergeCell ref="P10:R10"/>
    <mergeCell ref="A11:C11"/>
    <mergeCell ref="P11:R11"/>
    <mergeCell ref="A12:C12"/>
    <mergeCell ref="P12:R12"/>
    <mergeCell ref="P6:R6"/>
    <mergeCell ref="A7:C7"/>
    <mergeCell ref="P7:R7"/>
    <mergeCell ref="A8:C8"/>
    <mergeCell ref="P8:R8"/>
    <mergeCell ref="A9:C9"/>
    <mergeCell ref="P9:R9"/>
    <mergeCell ref="L1:M1"/>
    <mergeCell ref="L2:M2"/>
    <mergeCell ref="D3:F3"/>
    <mergeCell ref="L3:M3"/>
    <mergeCell ref="A4:C4"/>
    <mergeCell ref="D4:F4"/>
    <mergeCell ref="L4:M4"/>
    <mergeCell ref="P2:Q2"/>
  </mergeCells>
  <hyperlinks>
    <hyperlink ref="O8" location="'Alternate #2 price'!A1" display="AP2"/>
    <hyperlink ref="D8" r:id="rId1"/>
    <hyperlink ref="P2" location="'Table of Contents'!A1" display="Table of Contents"/>
  </hyperlinks>
  <pageMargins left="0.7" right="0.7" top="0.75" bottom="0.75" header="0.3" footer="0.3"/>
  <pageSetup orientation="portrait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28"/>
  <sheetViews>
    <sheetView workbookViewId="0">
      <selection activeCell="D9" sqref="D9"/>
    </sheetView>
  </sheetViews>
  <sheetFormatPr defaultRowHeight="15" x14ac:dyDescent="0.25"/>
  <cols>
    <col min="1" max="2" width="2.7109375" style="194" customWidth="1"/>
    <col min="3" max="3" width="15.85546875" style="194" customWidth="1"/>
    <col min="4" max="4" width="3.7109375" style="194" customWidth="1"/>
    <col min="5" max="5" width="6.7109375" style="194" customWidth="1"/>
    <col min="6" max="6" width="2.7109375" style="194" customWidth="1"/>
    <col min="7" max="8" width="6.7109375" style="194" customWidth="1"/>
    <col min="9" max="9" width="6.42578125" style="194" bestFit="1" customWidth="1"/>
    <col min="10" max="13" width="5.7109375" style="194" customWidth="1"/>
    <col min="14" max="14" width="3.5703125" style="194" bestFit="1" customWidth="1"/>
    <col min="15" max="15" width="5.7109375" style="194" customWidth="1"/>
    <col min="16" max="16" width="6.7109375" style="194" customWidth="1"/>
    <col min="17" max="17" width="9.140625" style="194" bestFit="1" customWidth="1"/>
    <col min="18" max="18" width="5.7109375" style="194" customWidth="1"/>
    <col min="19" max="19" width="6.7109375" style="194" customWidth="1"/>
    <col min="20" max="20" width="7.7109375" style="194" customWidth="1"/>
    <col min="21" max="21" width="8.7109375" style="194" customWidth="1"/>
    <col min="22" max="22" width="2.7109375" style="194" customWidth="1"/>
    <col min="23" max="24" width="9.140625" style="194"/>
    <col min="25" max="25" width="13.42578125" style="194" customWidth="1"/>
    <col min="26" max="256" width="9.140625" style="194"/>
    <col min="257" max="258" width="2.7109375" style="194" customWidth="1"/>
    <col min="259" max="259" width="15.85546875" style="194" customWidth="1"/>
    <col min="260" max="260" width="3.7109375" style="194" customWidth="1"/>
    <col min="261" max="261" width="6.7109375" style="194" customWidth="1"/>
    <col min="262" max="262" width="2.7109375" style="194" customWidth="1"/>
    <col min="263" max="264" width="6.7109375" style="194" customWidth="1"/>
    <col min="265" max="269" width="5.7109375" style="194" customWidth="1"/>
    <col min="270" max="270" width="3.140625" style="194" bestFit="1" customWidth="1"/>
    <col min="271" max="271" width="5.7109375" style="194" customWidth="1"/>
    <col min="272" max="272" width="6.7109375" style="194" customWidth="1"/>
    <col min="273" max="273" width="7.7109375" style="194" customWidth="1"/>
    <col min="274" max="274" width="5.7109375" style="194" customWidth="1"/>
    <col min="275" max="275" width="6.7109375" style="194" customWidth="1"/>
    <col min="276" max="276" width="7.7109375" style="194" customWidth="1"/>
    <col min="277" max="277" width="5.7109375" style="194" customWidth="1"/>
    <col min="278" max="278" width="2.7109375" style="194" customWidth="1"/>
    <col min="279" max="280" width="9.140625" style="194"/>
    <col min="281" max="281" width="13.42578125" style="194" customWidth="1"/>
    <col min="282" max="512" width="9.140625" style="194"/>
    <col min="513" max="514" width="2.7109375" style="194" customWidth="1"/>
    <col min="515" max="515" width="15.85546875" style="194" customWidth="1"/>
    <col min="516" max="516" width="3.7109375" style="194" customWidth="1"/>
    <col min="517" max="517" width="6.7109375" style="194" customWidth="1"/>
    <col min="518" max="518" width="2.7109375" style="194" customWidth="1"/>
    <col min="519" max="520" width="6.7109375" style="194" customWidth="1"/>
    <col min="521" max="525" width="5.7109375" style="194" customWidth="1"/>
    <col min="526" max="526" width="3.140625" style="194" bestFit="1" customWidth="1"/>
    <col min="527" max="527" width="5.7109375" style="194" customWidth="1"/>
    <col min="528" max="528" width="6.7109375" style="194" customWidth="1"/>
    <col min="529" max="529" width="7.7109375" style="194" customWidth="1"/>
    <col min="530" max="530" width="5.7109375" style="194" customWidth="1"/>
    <col min="531" max="531" width="6.7109375" style="194" customWidth="1"/>
    <col min="532" max="532" width="7.7109375" style="194" customWidth="1"/>
    <col min="533" max="533" width="5.7109375" style="194" customWidth="1"/>
    <col min="534" max="534" width="2.7109375" style="194" customWidth="1"/>
    <col min="535" max="536" width="9.140625" style="194"/>
    <col min="537" max="537" width="13.42578125" style="194" customWidth="1"/>
    <col min="538" max="768" width="9.140625" style="194"/>
    <col min="769" max="770" width="2.7109375" style="194" customWidth="1"/>
    <col min="771" max="771" width="15.85546875" style="194" customWidth="1"/>
    <col min="772" max="772" width="3.7109375" style="194" customWidth="1"/>
    <col min="773" max="773" width="6.7109375" style="194" customWidth="1"/>
    <col min="774" max="774" width="2.7109375" style="194" customWidth="1"/>
    <col min="775" max="776" width="6.7109375" style="194" customWidth="1"/>
    <col min="777" max="781" width="5.7109375" style="194" customWidth="1"/>
    <col min="782" max="782" width="3.140625" style="194" bestFit="1" customWidth="1"/>
    <col min="783" max="783" width="5.7109375" style="194" customWidth="1"/>
    <col min="784" max="784" width="6.7109375" style="194" customWidth="1"/>
    <col min="785" max="785" width="7.7109375" style="194" customWidth="1"/>
    <col min="786" max="786" width="5.7109375" style="194" customWidth="1"/>
    <col min="787" max="787" width="6.7109375" style="194" customWidth="1"/>
    <col min="788" max="788" width="7.7109375" style="194" customWidth="1"/>
    <col min="789" max="789" width="5.7109375" style="194" customWidth="1"/>
    <col min="790" max="790" width="2.7109375" style="194" customWidth="1"/>
    <col min="791" max="792" width="9.140625" style="194"/>
    <col min="793" max="793" width="13.42578125" style="194" customWidth="1"/>
    <col min="794" max="1024" width="9.140625" style="194"/>
    <col min="1025" max="1026" width="2.7109375" style="194" customWidth="1"/>
    <col min="1027" max="1027" width="15.85546875" style="194" customWidth="1"/>
    <col min="1028" max="1028" width="3.7109375" style="194" customWidth="1"/>
    <col min="1029" max="1029" width="6.7109375" style="194" customWidth="1"/>
    <col min="1030" max="1030" width="2.7109375" style="194" customWidth="1"/>
    <col min="1031" max="1032" width="6.7109375" style="194" customWidth="1"/>
    <col min="1033" max="1037" width="5.7109375" style="194" customWidth="1"/>
    <col min="1038" max="1038" width="3.140625" style="194" bestFit="1" customWidth="1"/>
    <col min="1039" max="1039" width="5.7109375" style="194" customWidth="1"/>
    <col min="1040" max="1040" width="6.7109375" style="194" customWidth="1"/>
    <col min="1041" max="1041" width="7.7109375" style="194" customWidth="1"/>
    <col min="1042" max="1042" width="5.7109375" style="194" customWidth="1"/>
    <col min="1043" max="1043" width="6.7109375" style="194" customWidth="1"/>
    <col min="1044" max="1044" width="7.7109375" style="194" customWidth="1"/>
    <col min="1045" max="1045" width="5.7109375" style="194" customWidth="1"/>
    <col min="1046" max="1046" width="2.7109375" style="194" customWidth="1"/>
    <col min="1047" max="1048" width="9.140625" style="194"/>
    <col min="1049" max="1049" width="13.42578125" style="194" customWidth="1"/>
    <col min="1050" max="1280" width="9.140625" style="194"/>
    <col min="1281" max="1282" width="2.7109375" style="194" customWidth="1"/>
    <col min="1283" max="1283" width="15.85546875" style="194" customWidth="1"/>
    <col min="1284" max="1284" width="3.7109375" style="194" customWidth="1"/>
    <col min="1285" max="1285" width="6.7109375" style="194" customWidth="1"/>
    <col min="1286" max="1286" width="2.7109375" style="194" customWidth="1"/>
    <col min="1287" max="1288" width="6.7109375" style="194" customWidth="1"/>
    <col min="1289" max="1293" width="5.7109375" style="194" customWidth="1"/>
    <col min="1294" max="1294" width="3.140625" style="194" bestFit="1" customWidth="1"/>
    <col min="1295" max="1295" width="5.7109375" style="194" customWidth="1"/>
    <col min="1296" max="1296" width="6.7109375" style="194" customWidth="1"/>
    <col min="1297" max="1297" width="7.7109375" style="194" customWidth="1"/>
    <col min="1298" max="1298" width="5.7109375" style="194" customWidth="1"/>
    <col min="1299" max="1299" width="6.7109375" style="194" customWidth="1"/>
    <col min="1300" max="1300" width="7.7109375" style="194" customWidth="1"/>
    <col min="1301" max="1301" width="5.7109375" style="194" customWidth="1"/>
    <col min="1302" max="1302" width="2.7109375" style="194" customWidth="1"/>
    <col min="1303" max="1304" width="9.140625" style="194"/>
    <col min="1305" max="1305" width="13.42578125" style="194" customWidth="1"/>
    <col min="1306" max="1536" width="9.140625" style="194"/>
    <col min="1537" max="1538" width="2.7109375" style="194" customWidth="1"/>
    <col min="1539" max="1539" width="15.85546875" style="194" customWidth="1"/>
    <col min="1540" max="1540" width="3.7109375" style="194" customWidth="1"/>
    <col min="1541" max="1541" width="6.7109375" style="194" customWidth="1"/>
    <col min="1542" max="1542" width="2.7109375" style="194" customWidth="1"/>
    <col min="1543" max="1544" width="6.7109375" style="194" customWidth="1"/>
    <col min="1545" max="1549" width="5.7109375" style="194" customWidth="1"/>
    <col min="1550" max="1550" width="3.140625" style="194" bestFit="1" customWidth="1"/>
    <col min="1551" max="1551" width="5.7109375" style="194" customWidth="1"/>
    <col min="1552" max="1552" width="6.7109375" style="194" customWidth="1"/>
    <col min="1553" max="1553" width="7.7109375" style="194" customWidth="1"/>
    <col min="1554" max="1554" width="5.7109375" style="194" customWidth="1"/>
    <col min="1555" max="1555" width="6.7109375" style="194" customWidth="1"/>
    <col min="1556" max="1556" width="7.7109375" style="194" customWidth="1"/>
    <col min="1557" max="1557" width="5.7109375" style="194" customWidth="1"/>
    <col min="1558" max="1558" width="2.7109375" style="194" customWidth="1"/>
    <col min="1559" max="1560" width="9.140625" style="194"/>
    <col min="1561" max="1561" width="13.42578125" style="194" customWidth="1"/>
    <col min="1562" max="1792" width="9.140625" style="194"/>
    <col min="1793" max="1794" width="2.7109375" style="194" customWidth="1"/>
    <col min="1795" max="1795" width="15.85546875" style="194" customWidth="1"/>
    <col min="1796" max="1796" width="3.7109375" style="194" customWidth="1"/>
    <col min="1797" max="1797" width="6.7109375" style="194" customWidth="1"/>
    <col min="1798" max="1798" width="2.7109375" style="194" customWidth="1"/>
    <col min="1799" max="1800" width="6.7109375" style="194" customWidth="1"/>
    <col min="1801" max="1805" width="5.7109375" style="194" customWidth="1"/>
    <col min="1806" max="1806" width="3.140625" style="194" bestFit="1" customWidth="1"/>
    <col min="1807" max="1807" width="5.7109375" style="194" customWidth="1"/>
    <col min="1808" max="1808" width="6.7109375" style="194" customWidth="1"/>
    <col min="1809" max="1809" width="7.7109375" style="194" customWidth="1"/>
    <col min="1810" max="1810" width="5.7109375" style="194" customWidth="1"/>
    <col min="1811" max="1811" width="6.7109375" style="194" customWidth="1"/>
    <col min="1812" max="1812" width="7.7109375" style="194" customWidth="1"/>
    <col min="1813" max="1813" width="5.7109375" style="194" customWidth="1"/>
    <col min="1814" max="1814" width="2.7109375" style="194" customWidth="1"/>
    <col min="1815" max="1816" width="9.140625" style="194"/>
    <col min="1817" max="1817" width="13.42578125" style="194" customWidth="1"/>
    <col min="1818" max="2048" width="9.140625" style="194"/>
    <col min="2049" max="2050" width="2.7109375" style="194" customWidth="1"/>
    <col min="2051" max="2051" width="15.85546875" style="194" customWidth="1"/>
    <col min="2052" max="2052" width="3.7109375" style="194" customWidth="1"/>
    <col min="2053" max="2053" width="6.7109375" style="194" customWidth="1"/>
    <col min="2054" max="2054" width="2.7109375" style="194" customWidth="1"/>
    <col min="2055" max="2056" width="6.7109375" style="194" customWidth="1"/>
    <col min="2057" max="2061" width="5.7109375" style="194" customWidth="1"/>
    <col min="2062" max="2062" width="3.140625" style="194" bestFit="1" customWidth="1"/>
    <col min="2063" max="2063" width="5.7109375" style="194" customWidth="1"/>
    <col min="2064" max="2064" width="6.7109375" style="194" customWidth="1"/>
    <col min="2065" max="2065" width="7.7109375" style="194" customWidth="1"/>
    <col min="2066" max="2066" width="5.7109375" style="194" customWidth="1"/>
    <col min="2067" max="2067" width="6.7109375" style="194" customWidth="1"/>
    <col min="2068" max="2068" width="7.7109375" style="194" customWidth="1"/>
    <col min="2069" max="2069" width="5.7109375" style="194" customWidth="1"/>
    <col min="2070" max="2070" width="2.7109375" style="194" customWidth="1"/>
    <col min="2071" max="2072" width="9.140625" style="194"/>
    <col min="2073" max="2073" width="13.42578125" style="194" customWidth="1"/>
    <col min="2074" max="2304" width="9.140625" style="194"/>
    <col min="2305" max="2306" width="2.7109375" style="194" customWidth="1"/>
    <col min="2307" max="2307" width="15.85546875" style="194" customWidth="1"/>
    <col min="2308" max="2308" width="3.7109375" style="194" customWidth="1"/>
    <col min="2309" max="2309" width="6.7109375" style="194" customWidth="1"/>
    <col min="2310" max="2310" width="2.7109375" style="194" customWidth="1"/>
    <col min="2311" max="2312" width="6.7109375" style="194" customWidth="1"/>
    <col min="2313" max="2317" width="5.7109375" style="194" customWidth="1"/>
    <col min="2318" max="2318" width="3.140625" style="194" bestFit="1" customWidth="1"/>
    <col min="2319" max="2319" width="5.7109375" style="194" customWidth="1"/>
    <col min="2320" max="2320" width="6.7109375" style="194" customWidth="1"/>
    <col min="2321" max="2321" width="7.7109375" style="194" customWidth="1"/>
    <col min="2322" max="2322" width="5.7109375" style="194" customWidth="1"/>
    <col min="2323" max="2323" width="6.7109375" style="194" customWidth="1"/>
    <col min="2324" max="2324" width="7.7109375" style="194" customWidth="1"/>
    <col min="2325" max="2325" width="5.7109375" style="194" customWidth="1"/>
    <col min="2326" max="2326" width="2.7109375" style="194" customWidth="1"/>
    <col min="2327" max="2328" width="9.140625" style="194"/>
    <col min="2329" max="2329" width="13.42578125" style="194" customWidth="1"/>
    <col min="2330" max="2560" width="9.140625" style="194"/>
    <col min="2561" max="2562" width="2.7109375" style="194" customWidth="1"/>
    <col min="2563" max="2563" width="15.85546875" style="194" customWidth="1"/>
    <col min="2564" max="2564" width="3.7109375" style="194" customWidth="1"/>
    <col min="2565" max="2565" width="6.7109375" style="194" customWidth="1"/>
    <col min="2566" max="2566" width="2.7109375" style="194" customWidth="1"/>
    <col min="2567" max="2568" width="6.7109375" style="194" customWidth="1"/>
    <col min="2569" max="2573" width="5.7109375" style="194" customWidth="1"/>
    <col min="2574" max="2574" width="3.140625" style="194" bestFit="1" customWidth="1"/>
    <col min="2575" max="2575" width="5.7109375" style="194" customWidth="1"/>
    <col min="2576" max="2576" width="6.7109375" style="194" customWidth="1"/>
    <col min="2577" max="2577" width="7.7109375" style="194" customWidth="1"/>
    <col min="2578" max="2578" width="5.7109375" style="194" customWidth="1"/>
    <col min="2579" max="2579" width="6.7109375" style="194" customWidth="1"/>
    <col min="2580" max="2580" width="7.7109375" style="194" customWidth="1"/>
    <col min="2581" max="2581" width="5.7109375" style="194" customWidth="1"/>
    <col min="2582" max="2582" width="2.7109375" style="194" customWidth="1"/>
    <col min="2583" max="2584" width="9.140625" style="194"/>
    <col min="2585" max="2585" width="13.42578125" style="194" customWidth="1"/>
    <col min="2586" max="2816" width="9.140625" style="194"/>
    <col min="2817" max="2818" width="2.7109375" style="194" customWidth="1"/>
    <col min="2819" max="2819" width="15.85546875" style="194" customWidth="1"/>
    <col min="2820" max="2820" width="3.7109375" style="194" customWidth="1"/>
    <col min="2821" max="2821" width="6.7109375" style="194" customWidth="1"/>
    <col min="2822" max="2822" width="2.7109375" style="194" customWidth="1"/>
    <col min="2823" max="2824" width="6.7109375" style="194" customWidth="1"/>
    <col min="2825" max="2829" width="5.7109375" style="194" customWidth="1"/>
    <col min="2830" max="2830" width="3.140625" style="194" bestFit="1" customWidth="1"/>
    <col min="2831" max="2831" width="5.7109375" style="194" customWidth="1"/>
    <col min="2832" max="2832" width="6.7109375" style="194" customWidth="1"/>
    <col min="2833" max="2833" width="7.7109375" style="194" customWidth="1"/>
    <col min="2834" max="2834" width="5.7109375" style="194" customWidth="1"/>
    <col min="2835" max="2835" width="6.7109375" style="194" customWidth="1"/>
    <col min="2836" max="2836" width="7.7109375" style="194" customWidth="1"/>
    <col min="2837" max="2837" width="5.7109375" style="194" customWidth="1"/>
    <col min="2838" max="2838" width="2.7109375" style="194" customWidth="1"/>
    <col min="2839" max="2840" width="9.140625" style="194"/>
    <col min="2841" max="2841" width="13.42578125" style="194" customWidth="1"/>
    <col min="2842" max="3072" width="9.140625" style="194"/>
    <col min="3073" max="3074" width="2.7109375" style="194" customWidth="1"/>
    <col min="3075" max="3075" width="15.85546875" style="194" customWidth="1"/>
    <col min="3076" max="3076" width="3.7109375" style="194" customWidth="1"/>
    <col min="3077" max="3077" width="6.7109375" style="194" customWidth="1"/>
    <col min="3078" max="3078" width="2.7109375" style="194" customWidth="1"/>
    <col min="3079" max="3080" width="6.7109375" style="194" customWidth="1"/>
    <col min="3081" max="3085" width="5.7109375" style="194" customWidth="1"/>
    <col min="3086" max="3086" width="3.140625" style="194" bestFit="1" customWidth="1"/>
    <col min="3087" max="3087" width="5.7109375" style="194" customWidth="1"/>
    <col min="3088" max="3088" width="6.7109375" style="194" customWidth="1"/>
    <col min="3089" max="3089" width="7.7109375" style="194" customWidth="1"/>
    <col min="3090" max="3090" width="5.7109375" style="194" customWidth="1"/>
    <col min="3091" max="3091" width="6.7109375" style="194" customWidth="1"/>
    <col min="3092" max="3092" width="7.7109375" style="194" customWidth="1"/>
    <col min="3093" max="3093" width="5.7109375" style="194" customWidth="1"/>
    <col min="3094" max="3094" width="2.7109375" style="194" customWidth="1"/>
    <col min="3095" max="3096" width="9.140625" style="194"/>
    <col min="3097" max="3097" width="13.42578125" style="194" customWidth="1"/>
    <col min="3098" max="3328" width="9.140625" style="194"/>
    <col min="3329" max="3330" width="2.7109375" style="194" customWidth="1"/>
    <col min="3331" max="3331" width="15.85546875" style="194" customWidth="1"/>
    <col min="3332" max="3332" width="3.7109375" style="194" customWidth="1"/>
    <col min="3333" max="3333" width="6.7109375" style="194" customWidth="1"/>
    <col min="3334" max="3334" width="2.7109375" style="194" customWidth="1"/>
    <col min="3335" max="3336" width="6.7109375" style="194" customWidth="1"/>
    <col min="3337" max="3341" width="5.7109375" style="194" customWidth="1"/>
    <col min="3342" max="3342" width="3.140625" style="194" bestFit="1" customWidth="1"/>
    <col min="3343" max="3343" width="5.7109375" style="194" customWidth="1"/>
    <col min="3344" max="3344" width="6.7109375" style="194" customWidth="1"/>
    <col min="3345" max="3345" width="7.7109375" style="194" customWidth="1"/>
    <col min="3346" max="3346" width="5.7109375" style="194" customWidth="1"/>
    <col min="3347" max="3347" width="6.7109375" style="194" customWidth="1"/>
    <col min="3348" max="3348" width="7.7109375" style="194" customWidth="1"/>
    <col min="3349" max="3349" width="5.7109375" style="194" customWidth="1"/>
    <col min="3350" max="3350" width="2.7109375" style="194" customWidth="1"/>
    <col min="3351" max="3352" width="9.140625" style="194"/>
    <col min="3353" max="3353" width="13.42578125" style="194" customWidth="1"/>
    <col min="3354" max="3584" width="9.140625" style="194"/>
    <col min="3585" max="3586" width="2.7109375" style="194" customWidth="1"/>
    <col min="3587" max="3587" width="15.85546875" style="194" customWidth="1"/>
    <col min="3588" max="3588" width="3.7109375" style="194" customWidth="1"/>
    <col min="3589" max="3589" width="6.7109375" style="194" customWidth="1"/>
    <col min="3590" max="3590" width="2.7109375" style="194" customWidth="1"/>
    <col min="3591" max="3592" width="6.7109375" style="194" customWidth="1"/>
    <col min="3593" max="3597" width="5.7109375" style="194" customWidth="1"/>
    <col min="3598" max="3598" width="3.140625" style="194" bestFit="1" customWidth="1"/>
    <col min="3599" max="3599" width="5.7109375" style="194" customWidth="1"/>
    <col min="3600" max="3600" width="6.7109375" style="194" customWidth="1"/>
    <col min="3601" max="3601" width="7.7109375" style="194" customWidth="1"/>
    <col min="3602" max="3602" width="5.7109375" style="194" customWidth="1"/>
    <col min="3603" max="3603" width="6.7109375" style="194" customWidth="1"/>
    <col min="3604" max="3604" width="7.7109375" style="194" customWidth="1"/>
    <col min="3605" max="3605" width="5.7109375" style="194" customWidth="1"/>
    <col min="3606" max="3606" width="2.7109375" style="194" customWidth="1"/>
    <col min="3607" max="3608" width="9.140625" style="194"/>
    <col min="3609" max="3609" width="13.42578125" style="194" customWidth="1"/>
    <col min="3610" max="3840" width="9.140625" style="194"/>
    <col min="3841" max="3842" width="2.7109375" style="194" customWidth="1"/>
    <col min="3843" max="3843" width="15.85546875" style="194" customWidth="1"/>
    <col min="3844" max="3844" width="3.7109375" style="194" customWidth="1"/>
    <col min="3845" max="3845" width="6.7109375" style="194" customWidth="1"/>
    <col min="3846" max="3846" width="2.7109375" style="194" customWidth="1"/>
    <col min="3847" max="3848" width="6.7109375" style="194" customWidth="1"/>
    <col min="3849" max="3853" width="5.7109375" style="194" customWidth="1"/>
    <col min="3854" max="3854" width="3.140625" style="194" bestFit="1" customWidth="1"/>
    <col min="3855" max="3855" width="5.7109375" style="194" customWidth="1"/>
    <col min="3856" max="3856" width="6.7109375" style="194" customWidth="1"/>
    <col min="3857" max="3857" width="7.7109375" style="194" customWidth="1"/>
    <col min="3858" max="3858" width="5.7109375" style="194" customWidth="1"/>
    <col min="3859" max="3859" width="6.7109375" style="194" customWidth="1"/>
    <col min="3860" max="3860" width="7.7109375" style="194" customWidth="1"/>
    <col min="3861" max="3861" width="5.7109375" style="194" customWidth="1"/>
    <col min="3862" max="3862" width="2.7109375" style="194" customWidth="1"/>
    <col min="3863" max="3864" width="9.140625" style="194"/>
    <col min="3865" max="3865" width="13.42578125" style="194" customWidth="1"/>
    <col min="3866" max="4096" width="9.140625" style="194"/>
    <col min="4097" max="4098" width="2.7109375" style="194" customWidth="1"/>
    <col min="4099" max="4099" width="15.85546875" style="194" customWidth="1"/>
    <col min="4100" max="4100" width="3.7109375" style="194" customWidth="1"/>
    <col min="4101" max="4101" width="6.7109375" style="194" customWidth="1"/>
    <col min="4102" max="4102" width="2.7109375" style="194" customWidth="1"/>
    <col min="4103" max="4104" width="6.7109375" style="194" customWidth="1"/>
    <col min="4105" max="4109" width="5.7109375" style="194" customWidth="1"/>
    <col min="4110" max="4110" width="3.140625" style="194" bestFit="1" customWidth="1"/>
    <col min="4111" max="4111" width="5.7109375" style="194" customWidth="1"/>
    <col min="4112" max="4112" width="6.7109375" style="194" customWidth="1"/>
    <col min="4113" max="4113" width="7.7109375" style="194" customWidth="1"/>
    <col min="4114" max="4114" width="5.7109375" style="194" customWidth="1"/>
    <col min="4115" max="4115" width="6.7109375" style="194" customWidth="1"/>
    <col min="4116" max="4116" width="7.7109375" style="194" customWidth="1"/>
    <col min="4117" max="4117" width="5.7109375" style="194" customWidth="1"/>
    <col min="4118" max="4118" width="2.7109375" style="194" customWidth="1"/>
    <col min="4119" max="4120" width="9.140625" style="194"/>
    <col min="4121" max="4121" width="13.42578125" style="194" customWidth="1"/>
    <col min="4122" max="4352" width="9.140625" style="194"/>
    <col min="4353" max="4354" width="2.7109375" style="194" customWidth="1"/>
    <col min="4355" max="4355" width="15.85546875" style="194" customWidth="1"/>
    <col min="4356" max="4356" width="3.7109375" style="194" customWidth="1"/>
    <col min="4357" max="4357" width="6.7109375" style="194" customWidth="1"/>
    <col min="4358" max="4358" width="2.7109375" style="194" customWidth="1"/>
    <col min="4359" max="4360" width="6.7109375" style="194" customWidth="1"/>
    <col min="4361" max="4365" width="5.7109375" style="194" customWidth="1"/>
    <col min="4366" max="4366" width="3.140625" style="194" bestFit="1" customWidth="1"/>
    <col min="4367" max="4367" width="5.7109375" style="194" customWidth="1"/>
    <col min="4368" max="4368" width="6.7109375" style="194" customWidth="1"/>
    <col min="4369" max="4369" width="7.7109375" style="194" customWidth="1"/>
    <col min="4370" max="4370" width="5.7109375" style="194" customWidth="1"/>
    <col min="4371" max="4371" width="6.7109375" style="194" customWidth="1"/>
    <col min="4372" max="4372" width="7.7109375" style="194" customWidth="1"/>
    <col min="4373" max="4373" width="5.7109375" style="194" customWidth="1"/>
    <col min="4374" max="4374" width="2.7109375" style="194" customWidth="1"/>
    <col min="4375" max="4376" width="9.140625" style="194"/>
    <col min="4377" max="4377" width="13.42578125" style="194" customWidth="1"/>
    <col min="4378" max="4608" width="9.140625" style="194"/>
    <col min="4609" max="4610" width="2.7109375" style="194" customWidth="1"/>
    <col min="4611" max="4611" width="15.85546875" style="194" customWidth="1"/>
    <col min="4612" max="4612" width="3.7109375" style="194" customWidth="1"/>
    <col min="4613" max="4613" width="6.7109375" style="194" customWidth="1"/>
    <col min="4614" max="4614" width="2.7109375" style="194" customWidth="1"/>
    <col min="4615" max="4616" width="6.7109375" style="194" customWidth="1"/>
    <col min="4617" max="4621" width="5.7109375" style="194" customWidth="1"/>
    <col min="4622" max="4622" width="3.140625" style="194" bestFit="1" customWidth="1"/>
    <col min="4623" max="4623" width="5.7109375" style="194" customWidth="1"/>
    <col min="4624" max="4624" width="6.7109375" style="194" customWidth="1"/>
    <col min="4625" max="4625" width="7.7109375" style="194" customWidth="1"/>
    <col min="4626" max="4626" width="5.7109375" style="194" customWidth="1"/>
    <col min="4627" max="4627" width="6.7109375" style="194" customWidth="1"/>
    <col min="4628" max="4628" width="7.7109375" style="194" customWidth="1"/>
    <col min="4629" max="4629" width="5.7109375" style="194" customWidth="1"/>
    <col min="4630" max="4630" width="2.7109375" style="194" customWidth="1"/>
    <col min="4631" max="4632" width="9.140625" style="194"/>
    <col min="4633" max="4633" width="13.42578125" style="194" customWidth="1"/>
    <col min="4634" max="4864" width="9.140625" style="194"/>
    <col min="4865" max="4866" width="2.7109375" style="194" customWidth="1"/>
    <col min="4867" max="4867" width="15.85546875" style="194" customWidth="1"/>
    <col min="4868" max="4868" width="3.7109375" style="194" customWidth="1"/>
    <col min="4869" max="4869" width="6.7109375" style="194" customWidth="1"/>
    <col min="4870" max="4870" width="2.7109375" style="194" customWidth="1"/>
    <col min="4871" max="4872" width="6.7109375" style="194" customWidth="1"/>
    <col min="4873" max="4877" width="5.7109375" style="194" customWidth="1"/>
    <col min="4878" max="4878" width="3.140625" style="194" bestFit="1" customWidth="1"/>
    <col min="4879" max="4879" width="5.7109375" style="194" customWidth="1"/>
    <col min="4880" max="4880" width="6.7109375" style="194" customWidth="1"/>
    <col min="4881" max="4881" width="7.7109375" style="194" customWidth="1"/>
    <col min="4882" max="4882" width="5.7109375" style="194" customWidth="1"/>
    <col min="4883" max="4883" width="6.7109375" style="194" customWidth="1"/>
    <col min="4884" max="4884" width="7.7109375" style="194" customWidth="1"/>
    <col min="4885" max="4885" width="5.7109375" style="194" customWidth="1"/>
    <col min="4886" max="4886" width="2.7109375" style="194" customWidth="1"/>
    <col min="4887" max="4888" width="9.140625" style="194"/>
    <col min="4889" max="4889" width="13.42578125" style="194" customWidth="1"/>
    <col min="4890" max="5120" width="9.140625" style="194"/>
    <col min="5121" max="5122" width="2.7109375" style="194" customWidth="1"/>
    <col min="5123" max="5123" width="15.85546875" style="194" customWidth="1"/>
    <col min="5124" max="5124" width="3.7109375" style="194" customWidth="1"/>
    <col min="5125" max="5125" width="6.7109375" style="194" customWidth="1"/>
    <col min="5126" max="5126" width="2.7109375" style="194" customWidth="1"/>
    <col min="5127" max="5128" width="6.7109375" style="194" customWidth="1"/>
    <col min="5129" max="5133" width="5.7109375" style="194" customWidth="1"/>
    <col min="5134" max="5134" width="3.140625" style="194" bestFit="1" customWidth="1"/>
    <col min="5135" max="5135" width="5.7109375" style="194" customWidth="1"/>
    <col min="5136" max="5136" width="6.7109375" style="194" customWidth="1"/>
    <col min="5137" max="5137" width="7.7109375" style="194" customWidth="1"/>
    <col min="5138" max="5138" width="5.7109375" style="194" customWidth="1"/>
    <col min="5139" max="5139" width="6.7109375" style="194" customWidth="1"/>
    <col min="5140" max="5140" width="7.7109375" style="194" customWidth="1"/>
    <col min="5141" max="5141" width="5.7109375" style="194" customWidth="1"/>
    <col min="5142" max="5142" width="2.7109375" style="194" customWidth="1"/>
    <col min="5143" max="5144" width="9.140625" style="194"/>
    <col min="5145" max="5145" width="13.42578125" style="194" customWidth="1"/>
    <col min="5146" max="5376" width="9.140625" style="194"/>
    <col min="5377" max="5378" width="2.7109375" style="194" customWidth="1"/>
    <col min="5379" max="5379" width="15.85546875" style="194" customWidth="1"/>
    <col min="5380" max="5380" width="3.7109375" style="194" customWidth="1"/>
    <col min="5381" max="5381" width="6.7109375" style="194" customWidth="1"/>
    <col min="5382" max="5382" width="2.7109375" style="194" customWidth="1"/>
    <col min="5383" max="5384" width="6.7109375" style="194" customWidth="1"/>
    <col min="5385" max="5389" width="5.7109375" style="194" customWidth="1"/>
    <col min="5390" max="5390" width="3.140625" style="194" bestFit="1" customWidth="1"/>
    <col min="5391" max="5391" width="5.7109375" style="194" customWidth="1"/>
    <col min="5392" max="5392" width="6.7109375" style="194" customWidth="1"/>
    <col min="5393" max="5393" width="7.7109375" style="194" customWidth="1"/>
    <col min="5394" max="5394" width="5.7109375" style="194" customWidth="1"/>
    <col min="5395" max="5395" width="6.7109375" style="194" customWidth="1"/>
    <col min="5396" max="5396" width="7.7109375" style="194" customWidth="1"/>
    <col min="5397" max="5397" width="5.7109375" style="194" customWidth="1"/>
    <col min="5398" max="5398" width="2.7109375" style="194" customWidth="1"/>
    <col min="5399" max="5400" width="9.140625" style="194"/>
    <col min="5401" max="5401" width="13.42578125" style="194" customWidth="1"/>
    <col min="5402" max="5632" width="9.140625" style="194"/>
    <col min="5633" max="5634" width="2.7109375" style="194" customWidth="1"/>
    <col min="5635" max="5635" width="15.85546875" style="194" customWidth="1"/>
    <col min="5636" max="5636" width="3.7109375" style="194" customWidth="1"/>
    <col min="5637" max="5637" width="6.7109375" style="194" customWidth="1"/>
    <col min="5638" max="5638" width="2.7109375" style="194" customWidth="1"/>
    <col min="5639" max="5640" width="6.7109375" style="194" customWidth="1"/>
    <col min="5641" max="5645" width="5.7109375" style="194" customWidth="1"/>
    <col min="5646" max="5646" width="3.140625" style="194" bestFit="1" customWidth="1"/>
    <col min="5647" max="5647" width="5.7109375" style="194" customWidth="1"/>
    <col min="5648" max="5648" width="6.7109375" style="194" customWidth="1"/>
    <col min="5649" max="5649" width="7.7109375" style="194" customWidth="1"/>
    <col min="5650" max="5650" width="5.7109375" style="194" customWidth="1"/>
    <col min="5651" max="5651" width="6.7109375" style="194" customWidth="1"/>
    <col min="5652" max="5652" width="7.7109375" style="194" customWidth="1"/>
    <col min="5653" max="5653" width="5.7109375" style="194" customWidth="1"/>
    <col min="5654" max="5654" width="2.7109375" style="194" customWidth="1"/>
    <col min="5655" max="5656" width="9.140625" style="194"/>
    <col min="5657" max="5657" width="13.42578125" style="194" customWidth="1"/>
    <col min="5658" max="5888" width="9.140625" style="194"/>
    <col min="5889" max="5890" width="2.7109375" style="194" customWidth="1"/>
    <col min="5891" max="5891" width="15.85546875" style="194" customWidth="1"/>
    <col min="5892" max="5892" width="3.7109375" style="194" customWidth="1"/>
    <col min="5893" max="5893" width="6.7109375" style="194" customWidth="1"/>
    <col min="5894" max="5894" width="2.7109375" style="194" customWidth="1"/>
    <col min="5895" max="5896" width="6.7109375" style="194" customWidth="1"/>
    <col min="5897" max="5901" width="5.7109375" style="194" customWidth="1"/>
    <col min="5902" max="5902" width="3.140625" style="194" bestFit="1" customWidth="1"/>
    <col min="5903" max="5903" width="5.7109375" style="194" customWidth="1"/>
    <col min="5904" max="5904" width="6.7109375" style="194" customWidth="1"/>
    <col min="5905" max="5905" width="7.7109375" style="194" customWidth="1"/>
    <col min="5906" max="5906" width="5.7109375" style="194" customWidth="1"/>
    <col min="5907" max="5907" width="6.7109375" style="194" customWidth="1"/>
    <col min="5908" max="5908" width="7.7109375" style="194" customWidth="1"/>
    <col min="5909" max="5909" width="5.7109375" style="194" customWidth="1"/>
    <col min="5910" max="5910" width="2.7109375" style="194" customWidth="1"/>
    <col min="5911" max="5912" width="9.140625" style="194"/>
    <col min="5913" max="5913" width="13.42578125" style="194" customWidth="1"/>
    <col min="5914" max="6144" width="9.140625" style="194"/>
    <col min="6145" max="6146" width="2.7109375" style="194" customWidth="1"/>
    <col min="6147" max="6147" width="15.85546875" style="194" customWidth="1"/>
    <col min="6148" max="6148" width="3.7109375" style="194" customWidth="1"/>
    <col min="6149" max="6149" width="6.7109375" style="194" customWidth="1"/>
    <col min="6150" max="6150" width="2.7109375" style="194" customWidth="1"/>
    <col min="6151" max="6152" width="6.7109375" style="194" customWidth="1"/>
    <col min="6153" max="6157" width="5.7109375" style="194" customWidth="1"/>
    <col min="6158" max="6158" width="3.140625" style="194" bestFit="1" customWidth="1"/>
    <col min="6159" max="6159" width="5.7109375" style="194" customWidth="1"/>
    <col min="6160" max="6160" width="6.7109375" style="194" customWidth="1"/>
    <col min="6161" max="6161" width="7.7109375" style="194" customWidth="1"/>
    <col min="6162" max="6162" width="5.7109375" style="194" customWidth="1"/>
    <col min="6163" max="6163" width="6.7109375" style="194" customWidth="1"/>
    <col min="6164" max="6164" width="7.7109375" style="194" customWidth="1"/>
    <col min="6165" max="6165" width="5.7109375" style="194" customWidth="1"/>
    <col min="6166" max="6166" width="2.7109375" style="194" customWidth="1"/>
    <col min="6167" max="6168" width="9.140625" style="194"/>
    <col min="6169" max="6169" width="13.42578125" style="194" customWidth="1"/>
    <col min="6170" max="6400" width="9.140625" style="194"/>
    <col min="6401" max="6402" width="2.7109375" style="194" customWidth="1"/>
    <col min="6403" max="6403" width="15.85546875" style="194" customWidth="1"/>
    <col min="6404" max="6404" width="3.7109375" style="194" customWidth="1"/>
    <col min="6405" max="6405" width="6.7109375" style="194" customWidth="1"/>
    <col min="6406" max="6406" width="2.7109375" style="194" customWidth="1"/>
    <col min="6407" max="6408" width="6.7109375" style="194" customWidth="1"/>
    <col min="6409" max="6413" width="5.7109375" style="194" customWidth="1"/>
    <col min="6414" max="6414" width="3.140625" style="194" bestFit="1" customWidth="1"/>
    <col min="6415" max="6415" width="5.7109375" style="194" customWidth="1"/>
    <col min="6416" max="6416" width="6.7109375" style="194" customWidth="1"/>
    <col min="6417" max="6417" width="7.7109375" style="194" customWidth="1"/>
    <col min="6418" max="6418" width="5.7109375" style="194" customWidth="1"/>
    <col min="6419" max="6419" width="6.7109375" style="194" customWidth="1"/>
    <col min="6420" max="6420" width="7.7109375" style="194" customWidth="1"/>
    <col min="6421" max="6421" width="5.7109375" style="194" customWidth="1"/>
    <col min="6422" max="6422" width="2.7109375" style="194" customWidth="1"/>
    <col min="6423" max="6424" width="9.140625" style="194"/>
    <col min="6425" max="6425" width="13.42578125" style="194" customWidth="1"/>
    <col min="6426" max="6656" width="9.140625" style="194"/>
    <col min="6657" max="6658" width="2.7109375" style="194" customWidth="1"/>
    <col min="6659" max="6659" width="15.85546875" style="194" customWidth="1"/>
    <col min="6660" max="6660" width="3.7109375" style="194" customWidth="1"/>
    <col min="6661" max="6661" width="6.7109375" style="194" customWidth="1"/>
    <col min="6662" max="6662" width="2.7109375" style="194" customWidth="1"/>
    <col min="6663" max="6664" width="6.7109375" style="194" customWidth="1"/>
    <col min="6665" max="6669" width="5.7109375" style="194" customWidth="1"/>
    <col min="6670" max="6670" width="3.140625" style="194" bestFit="1" customWidth="1"/>
    <col min="6671" max="6671" width="5.7109375" style="194" customWidth="1"/>
    <col min="6672" max="6672" width="6.7109375" style="194" customWidth="1"/>
    <col min="6673" max="6673" width="7.7109375" style="194" customWidth="1"/>
    <col min="6674" max="6674" width="5.7109375" style="194" customWidth="1"/>
    <col min="6675" max="6675" width="6.7109375" style="194" customWidth="1"/>
    <col min="6676" max="6676" width="7.7109375" style="194" customWidth="1"/>
    <col min="6677" max="6677" width="5.7109375" style="194" customWidth="1"/>
    <col min="6678" max="6678" width="2.7109375" style="194" customWidth="1"/>
    <col min="6679" max="6680" width="9.140625" style="194"/>
    <col min="6681" max="6681" width="13.42578125" style="194" customWidth="1"/>
    <col min="6682" max="6912" width="9.140625" style="194"/>
    <col min="6913" max="6914" width="2.7109375" style="194" customWidth="1"/>
    <col min="6915" max="6915" width="15.85546875" style="194" customWidth="1"/>
    <col min="6916" max="6916" width="3.7109375" style="194" customWidth="1"/>
    <col min="6917" max="6917" width="6.7109375" style="194" customWidth="1"/>
    <col min="6918" max="6918" width="2.7109375" style="194" customWidth="1"/>
    <col min="6919" max="6920" width="6.7109375" style="194" customWidth="1"/>
    <col min="6921" max="6925" width="5.7109375" style="194" customWidth="1"/>
    <col min="6926" max="6926" width="3.140625" style="194" bestFit="1" customWidth="1"/>
    <col min="6927" max="6927" width="5.7109375" style="194" customWidth="1"/>
    <col min="6928" max="6928" width="6.7109375" style="194" customWidth="1"/>
    <col min="6929" max="6929" width="7.7109375" style="194" customWidth="1"/>
    <col min="6930" max="6930" width="5.7109375" style="194" customWidth="1"/>
    <col min="6931" max="6931" width="6.7109375" style="194" customWidth="1"/>
    <col min="6932" max="6932" width="7.7109375" style="194" customWidth="1"/>
    <col min="6933" max="6933" width="5.7109375" style="194" customWidth="1"/>
    <col min="6934" max="6934" width="2.7109375" style="194" customWidth="1"/>
    <col min="6935" max="6936" width="9.140625" style="194"/>
    <col min="6937" max="6937" width="13.42578125" style="194" customWidth="1"/>
    <col min="6938" max="7168" width="9.140625" style="194"/>
    <col min="7169" max="7170" width="2.7109375" style="194" customWidth="1"/>
    <col min="7171" max="7171" width="15.85546875" style="194" customWidth="1"/>
    <col min="7172" max="7172" width="3.7109375" style="194" customWidth="1"/>
    <col min="7173" max="7173" width="6.7109375" style="194" customWidth="1"/>
    <col min="7174" max="7174" width="2.7109375" style="194" customWidth="1"/>
    <col min="7175" max="7176" width="6.7109375" style="194" customWidth="1"/>
    <col min="7177" max="7181" width="5.7109375" style="194" customWidth="1"/>
    <col min="7182" max="7182" width="3.140625" style="194" bestFit="1" customWidth="1"/>
    <col min="7183" max="7183" width="5.7109375" style="194" customWidth="1"/>
    <col min="7184" max="7184" width="6.7109375" style="194" customWidth="1"/>
    <col min="7185" max="7185" width="7.7109375" style="194" customWidth="1"/>
    <col min="7186" max="7186" width="5.7109375" style="194" customWidth="1"/>
    <col min="7187" max="7187" width="6.7109375" style="194" customWidth="1"/>
    <col min="7188" max="7188" width="7.7109375" style="194" customWidth="1"/>
    <col min="7189" max="7189" width="5.7109375" style="194" customWidth="1"/>
    <col min="7190" max="7190" width="2.7109375" style="194" customWidth="1"/>
    <col min="7191" max="7192" width="9.140625" style="194"/>
    <col min="7193" max="7193" width="13.42578125" style="194" customWidth="1"/>
    <col min="7194" max="7424" width="9.140625" style="194"/>
    <col min="7425" max="7426" width="2.7109375" style="194" customWidth="1"/>
    <col min="7427" max="7427" width="15.85546875" style="194" customWidth="1"/>
    <col min="7428" max="7428" width="3.7109375" style="194" customWidth="1"/>
    <col min="7429" max="7429" width="6.7109375" style="194" customWidth="1"/>
    <col min="7430" max="7430" width="2.7109375" style="194" customWidth="1"/>
    <col min="7431" max="7432" width="6.7109375" style="194" customWidth="1"/>
    <col min="7433" max="7437" width="5.7109375" style="194" customWidth="1"/>
    <col min="7438" max="7438" width="3.140625" style="194" bestFit="1" customWidth="1"/>
    <col min="7439" max="7439" width="5.7109375" style="194" customWidth="1"/>
    <col min="7440" max="7440" width="6.7109375" style="194" customWidth="1"/>
    <col min="7441" max="7441" width="7.7109375" style="194" customWidth="1"/>
    <col min="7442" max="7442" width="5.7109375" style="194" customWidth="1"/>
    <col min="7443" max="7443" width="6.7109375" style="194" customWidth="1"/>
    <col min="7444" max="7444" width="7.7109375" style="194" customWidth="1"/>
    <col min="7445" max="7445" width="5.7109375" style="194" customWidth="1"/>
    <col min="7446" max="7446" width="2.7109375" style="194" customWidth="1"/>
    <col min="7447" max="7448" width="9.140625" style="194"/>
    <col min="7449" max="7449" width="13.42578125" style="194" customWidth="1"/>
    <col min="7450" max="7680" width="9.140625" style="194"/>
    <col min="7681" max="7682" width="2.7109375" style="194" customWidth="1"/>
    <col min="7683" max="7683" width="15.85546875" style="194" customWidth="1"/>
    <col min="7684" max="7684" width="3.7109375" style="194" customWidth="1"/>
    <col min="7685" max="7685" width="6.7109375" style="194" customWidth="1"/>
    <col min="7686" max="7686" width="2.7109375" style="194" customWidth="1"/>
    <col min="7687" max="7688" width="6.7109375" style="194" customWidth="1"/>
    <col min="7689" max="7693" width="5.7109375" style="194" customWidth="1"/>
    <col min="7694" max="7694" width="3.140625" style="194" bestFit="1" customWidth="1"/>
    <col min="7695" max="7695" width="5.7109375" style="194" customWidth="1"/>
    <col min="7696" max="7696" width="6.7109375" style="194" customWidth="1"/>
    <col min="7697" max="7697" width="7.7109375" style="194" customWidth="1"/>
    <col min="7698" max="7698" width="5.7109375" style="194" customWidth="1"/>
    <col min="7699" max="7699" width="6.7109375" style="194" customWidth="1"/>
    <col min="7700" max="7700" width="7.7109375" style="194" customWidth="1"/>
    <col min="7701" max="7701" width="5.7109375" style="194" customWidth="1"/>
    <col min="7702" max="7702" width="2.7109375" style="194" customWidth="1"/>
    <col min="7703" max="7704" width="9.140625" style="194"/>
    <col min="7705" max="7705" width="13.42578125" style="194" customWidth="1"/>
    <col min="7706" max="7936" width="9.140625" style="194"/>
    <col min="7937" max="7938" width="2.7109375" style="194" customWidth="1"/>
    <col min="7939" max="7939" width="15.85546875" style="194" customWidth="1"/>
    <col min="7940" max="7940" width="3.7109375" style="194" customWidth="1"/>
    <col min="7941" max="7941" width="6.7109375" style="194" customWidth="1"/>
    <col min="7942" max="7942" width="2.7109375" style="194" customWidth="1"/>
    <col min="7943" max="7944" width="6.7109375" style="194" customWidth="1"/>
    <col min="7945" max="7949" width="5.7109375" style="194" customWidth="1"/>
    <col min="7950" max="7950" width="3.140625" style="194" bestFit="1" customWidth="1"/>
    <col min="7951" max="7951" width="5.7109375" style="194" customWidth="1"/>
    <col min="7952" max="7952" width="6.7109375" style="194" customWidth="1"/>
    <col min="7953" max="7953" width="7.7109375" style="194" customWidth="1"/>
    <col min="7954" max="7954" width="5.7109375" style="194" customWidth="1"/>
    <col min="7955" max="7955" width="6.7109375" style="194" customWidth="1"/>
    <col min="7956" max="7956" width="7.7109375" style="194" customWidth="1"/>
    <col min="7957" max="7957" width="5.7109375" style="194" customWidth="1"/>
    <col min="7958" max="7958" width="2.7109375" style="194" customWidth="1"/>
    <col min="7959" max="7960" width="9.140625" style="194"/>
    <col min="7961" max="7961" width="13.42578125" style="194" customWidth="1"/>
    <col min="7962" max="8192" width="9.140625" style="194"/>
    <col min="8193" max="8194" width="2.7109375" style="194" customWidth="1"/>
    <col min="8195" max="8195" width="15.85546875" style="194" customWidth="1"/>
    <col min="8196" max="8196" width="3.7109375" style="194" customWidth="1"/>
    <col min="8197" max="8197" width="6.7109375" style="194" customWidth="1"/>
    <col min="8198" max="8198" width="2.7109375" style="194" customWidth="1"/>
    <col min="8199" max="8200" width="6.7109375" style="194" customWidth="1"/>
    <col min="8201" max="8205" width="5.7109375" style="194" customWidth="1"/>
    <col min="8206" max="8206" width="3.140625" style="194" bestFit="1" customWidth="1"/>
    <col min="8207" max="8207" width="5.7109375" style="194" customWidth="1"/>
    <col min="8208" max="8208" width="6.7109375" style="194" customWidth="1"/>
    <col min="8209" max="8209" width="7.7109375" style="194" customWidth="1"/>
    <col min="8210" max="8210" width="5.7109375" style="194" customWidth="1"/>
    <col min="8211" max="8211" width="6.7109375" style="194" customWidth="1"/>
    <col min="8212" max="8212" width="7.7109375" style="194" customWidth="1"/>
    <col min="8213" max="8213" width="5.7109375" style="194" customWidth="1"/>
    <col min="8214" max="8214" width="2.7109375" style="194" customWidth="1"/>
    <col min="8215" max="8216" width="9.140625" style="194"/>
    <col min="8217" max="8217" width="13.42578125" style="194" customWidth="1"/>
    <col min="8218" max="8448" width="9.140625" style="194"/>
    <col min="8449" max="8450" width="2.7109375" style="194" customWidth="1"/>
    <col min="8451" max="8451" width="15.85546875" style="194" customWidth="1"/>
    <col min="8452" max="8452" width="3.7109375" style="194" customWidth="1"/>
    <col min="8453" max="8453" width="6.7109375" style="194" customWidth="1"/>
    <col min="8454" max="8454" width="2.7109375" style="194" customWidth="1"/>
    <col min="8455" max="8456" width="6.7109375" style="194" customWidth="1"/>
    <col min="8457" max="8461" width="5.7109375" style="194" customWidth="1"/>
    <col min="8462" max="8462" width="3.140625" style="194" bestFit="1" customWidth="1"/>
    <col min="8463" max="8463" width="5.7109375" style="194" customWidth="1"/>
    <col min="8464" max="8464" width="6.7109375" style="194" customWidth="1"/>
    <col min="8465" max="8465" width="7.7109375" style="194" customWidth="1"/>
    <col min="8466" max="8466" width="5.7109375" style="194" customWidth="1"/>
    <col min="8467" max="8467" width="6.7109375" style="194" customWidth="1"/>
    <col min="8468" max="8468" width="7.7109375" style="194" customWidth="1"/>
    <col min="8469" max="8469" width="5.7109375" style="194" customWidth="1"/>
    <col min="8470" max="8470" width="2.7109375" style="194" customWidth="1"/>
    <col min="8471" max="8472" width="9.140625" style="194"/>
    <col min="8473" max="8473" width="13.42578125" style="194" customWidth="1"/>
    <col min="8474" max="8704" width="9.140625" style="194"/>
    <col min="8705" max="8706" width="2.7109375" style="194" customWidth="1"/>
    <col min="8707" max="8707" width="15.85546875" style="194" customWidth="1"/>
    <col min="8708" max="8708" width="3.7109375" style="194" customWidth="1"/>
    <col min="8709" max="8709" width="6.7109375" style="194" customWidth="1"/>
    <col min="8710" max="8710" width="2.7109375" style="194" customWidth="1"/>
    <col min="8711" max="8712" width="6.7109375" style="194" customWidth="1"/>
    <col min="8713" max="8717" width="5.7109375" style="194" customWidth="1"/>
    <col min="8718" max="8718" width="3.140625" style="194" bestFit="1" customWidth="1"/>
    <col min="8719" max="8719" width="5.7109375" style="194" customWidth="1"/>
    <col min="8720" max="8720" width="6.7109375" style="194" customWidth="1"/>
    <col min="8721" max="8721" width="7.7109375" style="194" customWidth="1"/>
    <col min="8722" max="8722" width="5.7109375" style="194" customWidth="1"/>
    <col min="8723" max="8723" width="6.7109375" style="194" customWidth="1"/>
    <col min="8724" max="8724" width="7.7109375" style="194" customWidth="1"/>
    <col min="8725" max="8725" width="5.7109375" style="194" customWidth="1"/>
    <col min="8726" max="8726" width="2.7109375" style="194" customWidth="1"/>
    <col min="8727" max="8728" width="9.140625" style="194"/>
    <col min="8729" max="8729" width="13.42578125" style="194" customWidth="1"/>
    <col min="8730" max="8960" width="9.140625" style="194"/>
    <col min="8961" max="8962" width="2.7109375" style="194" customWidth="1"/>
    <col min="8963" max="8963" width="15.85546875" style="194" customWidth="1"/>
    <col min="8964" max="8964" width="3.7109375" style="194" customWidth="1"/>
    <col min="8965" max="8965" width="6.7109375" style="194" customWidth="1"/>
    <col min="8966" max="8966" width="2.7109375" style="194" customWidth="1"/>
    <col min="8967" max="8968" width="6.7109375" style="194" customWidth="1"/>
    <col min="8969" max="8973" width="5.7109375" style="194" customWidth="1"/>
    <col min="8974" max="8974" width="3.140625" style="194" bestFit="1" customWidth="1"/>
    <col min="8975" max="8975" width="5.7109375" style="194" customWidth="1"/>
    <col min="8976" max="8976" width="6.7109375" style="194" customWidth="1"/>
    <col min="8977" max="8977" width="7.7109375" style="194" customWidth="1"/>
    <col min="8978" max="8978" width="5.7109375" style="194" customWidth="1"/>
    <col min="8979" max="8979" width="6.7109375" style="194" customWidth="1"/>
    <col min="8980" max="8980" width="7.7109375" style="194" customWidth="1"/>
    <col min="8981" max="8981" width="5.7109375" style="194" customWidth="1"/>
    <col min="8982" max="8982" width="2.7109375" style="194" customWidth="1"/>
    <col min="8983" max="8984" width="9.140625" style="194"/>
    <col min="8985" max="8985" width="13.42578125" style="194" customWidth="1"/>
    <col min="8986" max="9216" width="9.140625" style="194"/>
    <col min="9217" max="9218" width="2.7109375" style="194" customWidth="1"/>
    <col min="9219" max="9219" width="15.85546875" style="194" customWidth="1"/>
    <col min="9220" max="9220" width="3.7109375" style="194" customWidth="1"/>
    <col min="9221" max="9221" width="6.7109375" style="194" customWidth="1"/>
    <col min="9222" max="9222" width="2.7109375" style="194" customWidth="1"/>
    <col min="9223" max="9224" width="6.7109375" style="194" customWidth="1"/>
    <col min="9225" max="9229" width="5.7109375" style="194" customWidth="1"/>
    <col min="9230" max="9230" width="3.140625" style="194" bestFit="1" customWidth="1"/>
    <col min="9231" max="9231" width="5.7109375" style="194" customWidth="1"/>
    <col min="9232" max="9232" width="6.7109375" style="194" customWidth="1"/>
    <col min="9233" max="9233" width="7.7109375" style="194" customWidth="1"/>
    <col min="9234" max="9234" width="5.7109375" style="194" customWidth="1"/>
    <col min="9235" max="9235" width="6.7109375" style="194" customWidth="1"/>
    <col min="9236" max="9236" width="7.7109375" style="194" customWidth="1"/>
    <col min="9237" max="9237" width="5.7109375" style="194" customWidth="1"/>
    <col min="9238" max="9238" width="2.7109375" style="194" customWidth="1"/>
    <col min="9239" max="9240" width="9.140625" style="194"/>
    <col min="9241" max="9241" width="13.42578125" style="194" customWidth="1"/>
    <col min="9242" max="9472" width="9.140625" style="194"/>
    <col min="9473" max="9474" width="2.7109375" style="194" customWidth="1"/>
    <col min="9475" max="9475" width="15.85546875" style="194" customWidth="1"/>
    <col min="9476" max="9476" width="3.7109375" style="194" customWidth="1"/>
    <col min="9477" max="9477" width="6.7109375" style="194" customWidth="1"/>
    <col min="9478" max="9478" width="2.7109375" style="194" customWidth="1"/>
    <col min="9479" max="9480" width="6.7109375" style="194" customWidth="1"/>
    <col min="9481" max="9485" width="5.7109375" style="194" customWidth="1"/>
    <col min="9486" max="9486" width="3.140625" style="194" bestFit="1" customWidth="1"/>
    <col min="9487" max="9487" width="5.7109375" style="194" customWidth="1"/>
    <col min="9488" max="9488" width="6.7109375" style="194" customWidth="1"/>
    <col min="9489" max="9489" width="7.7109375" style="194" customWidth="1"/>
    <col min="9490" max="9490" width="5.7109375" style="194" customWidth="1"/>
    <col min="9491" max="9491" width="6.7109375" style="194" customWidth="1"/>
    <col min="9492" max="9492" width="7.7109375" style="194" customWidth="1"/>
    <col min="9493" max="9493" width="5.7109375" style="194" customWidth="1"/>
    <col min="9494" max="9494" width="2.7109375" style="194" customWidth="1"/>
    <col min="9495" max="9496" width="9.140625" style="194"/>
    <col min="9497" max="9497" width="13.42578125" style="194" customWidth="1"/>
    <col min="9498" max="9728" width="9.140625" style="194"/>
    <col min="9729" max="9730" width="2.7109375" style="194" customWidth="1"/>
    <col min="9731" max="9731" width="15.85546875" style="194" customWidth="1"/>
    <col min="9732" max="9732" width="3.7109375" style="194" customWidth="1"/>
    <col min="9733" max="9733" width="6.7109375" style="194" customWidth="1"/>
    <col min="9734" max="9734" width="2.7109375" style="194" customWidth="1"/>
    <col min="9735" max="9736" width="6.7109375" style="194" customWidth="1"/>
    <col min="9737" max="9741" width="5.7109375" style="194" customWidth="1"/>
    <col min="9742" max="9742" width="3.140625" style="194" bestFit="1" customWidth="1"/>
    <col min="9743" max="9743" width="5.7109375" style="194" customWidth="1"/>
    <col min="9744" max="9744" width="6.7109375" style="194" customWidth="1"/>
    <col min="9745" max="9745" width="7.7109375" style="194" customWidth="1"/>
    <col min="9746" max="9746" width="5.7109375" style="194" customWidth="1"/>
    <col min="9747" max="9747" width="6.7109375" style="194" customWidth="1"/>
    <col min="9748" max="9748" width="7.7109375" style="194" customWidth="1"/>
    <col min="9749" max="9749" width="5.7109375" style="194" customWidth="1"/>
    <col min="9750" max="9750" width="2.7109375" style="194" customWidth="1"/>
    <col min="9751" max="9752" width="9.140625" style="194"/>
    <col min="9753" max="9753" width="13.42578125" style="194" customWidth="1"/>
    <col min="9754" max="9984" width="9.140625" style="194"/>
    <col min="9985" max="9986" width="2.7109375" style="194" customWidth="1"/>
    <col min="9987" max="9987" width="15.85546875" style="194" customWidth="1"/>
    <col min="9988" max="9988" width="3.7109375" style="194" customWidth="1"/>
    <col min="9989" max="9989" width="6.7109375" style="194" customWidth="1"/>
    <col min="9990" max="9990" width="2.7109375" style="194" customWidth="1"/>
    <col min="9991" max="9992" width="6.7109375" style="194" customWidth="1"/>
    <col min="9993" max="9997" width="5.7109375" style="194" customWidth="1"/>
    <col min="9998" max="9998" width="3.140625" style="194" bestFit="1" customWidth="1"/>
    <col min="9999" max="9999" width="5.7109375" style="194" customWidth="1"/>
    <col min="10000" max="10000" width="6.7109375" style="194" customWidth="1"/>
    <col min="10001" max="10001" width="7.7109375" style="194" customWidth="1"/>
    <col min="10002" max="10002" width="5.7109375" style="194" customWidth="1"/>
    <col min="10003" max="10003" width="6.7109375" style="194" customWidth="1"/>
    <col min="10004" max="10004" width="7.7109375" style="194" customWidth="1"/>
    <col min="10005" max="10005" width="5.7109375" style="194" customWidth="1"/>
    <col min="10006" max="10006" width="2.7109375" style="194" customWidth="1"/>
    <col min="10007" max="10008" width="9.140625" style="194"/>
    <col min="10009" max="10009" width="13.42578125" style="194" customWidth="1"/>
    <col min="10010" max="10240" width="9.140625" style="194"/>
    <col min="10241" max="10242" width="2.7109375" style="194" customWidth="1"/>
    <col min="10243" max="10243" width="15.85546875" style="194" customWidth="1"/>
    <col min="10244" max="10244" width="3.7109375" style="194" customWidth="1"/>
    <col min="10245" max="10245" width="6.7109375" style="194" customWidth="1"/>
    <col min="10246" max="10246" width="2.7109375" style="194" customWidth="1"/>
    <col min="10247" max="10248" width="6.7109375" style="194" customWidth="1"/>
    <col min="10249" max="10253" width="5.7109375" style="194" customWidth="1"/>
    <col min="10254" max="10254" width="3.140625" style="194" bestFit="1" customWidth="1"/>
    <col min="10255" max="10255" width="5.7109375" style="194" customWidth="1"/>
    <col min="10256" max="10256" width="6.7109375" style="194" customWidth="1"/>
    <col min="10257" max="10257" width="7.7109375" style="194" customWidth="1"/>
    <col min="10258" max="10258" width="5.7109375" style="194" customWidth="1"/>
    <col min="10259" max="10259" width="6.7109375" style="194" customWidth="1"/>
    <col min="10260" max="10260" width="7.7109375" style="194" customWidth="1"/>
    <col min="10261" max="10261" width="5.7109375" style="194" customWidth="1"/>
    <col min="10262" max="10262" width="2.7109375" style="194" customWidth="1"/>
    <col min="10263" max="10264" width="9.140625" style="194"/>
    <col min="10265" max="10265" width="13.42578125" style="194" customWidth="1"/>
    <col min="10266" max="10496" width="9.140625" style="194"/>
    <col min="10497" max="10498" width="2.7109375" style="194" customWidth="1"/>
    <col min="10499" max="10499" width="15.85546875" style="194" customWidth="1"/>
    <col min="10500" max="10500" width="3.7109375" style="194" customWidth="1"/>
    <col min="10501" max="10501" width="6.7109375" style="194" customWidth="1"/>
    <col min="10502" max="10502" width="2.7109375" style="194" customWidth="1"/>
    <col min="10503" max="10504" width="6.7109375" style="194" customWidth="1"/>
    <col min="10505" max="10509" width="5.7109375" style="194" customWidth="1"/>
    <col min="10510" max="10510" width="3.140625" style="194" bestFit="1" customWidth="1"/>
    <col min="10511" max="10511" width="5.7109375" style="194" customWidth="1"/>
    <col min="10512" max="10512" width="6.7109375" style="194" customWidth="1"/>
    <col min="10513" max="10513" width="7.7109375" style="194" customWidth="1"/>
    <col min="10514" max="10514" width="5.7109375" style="194" customWidth="1"/>
    <col min="10515" max="10515" width="6.7109375" style="194" customWidth="1"/>
    <col min="10516" max="10516" width="7.7109375" style="194" customWidth="1"/>
    <col min="10517" max="10517" width="5.7109375" style="194" customWidth="1"/>
    <col min="10518" max="10518" width="2.7109375" style="194" customWidth="1"/>
    <col min="10519" max="10520" width="9.140625" style="194"/>
    <col min="10521" max="10521" width="13.42578125" style="194" customWidth="1"/>
    <col min="10522" max="10752" width="9.140625" style="194"/>
    <col min="10753" max="10754" width="2.7109375" style="194" customWidth="1"/>
    <col min="10755" max="10755" width="15.85546875" style="194" customWidth="1"/>
    <col min="10756" max="10756" width="3.7109375" style="194" customWidth="1"/>
    <col min="10757" max="10757" width="6.7109375" style="194" customWidth="1"/>
    <col min="10758" max="10758" width="2.7109375" style="194" customWidth="1"/>
    <col min="10759" max="10760" width="6.7109375" style="194" customWidth="1"/>
    <col min="10761" max="10765" width="5.7109375" style="194" customWidth="1"/>
    <col min="10766" max="10766" width="3.140625" style="194" bestFit="1" customWidth="1"/>
    <col min="10767" max="10767" width="5.7109375" style="194" customWidth="1"/>
    <col min="10768" max="10768" width="6.7109375" style="194" customWidth="1"/>
    <col min="10769" max="10769" width="7.7109375" style="194" customWidth="1"/>
    <col min="10770" max="10770" width="5.7109375" style="194" customWidth="1"/>
    <col min="10771" max="10771" width="6.7109375" style="194" customWidth="1"/>
    <col min="10772" max="10772" width="7.7109375" style="194" customWidth="1"/>
    <col min="10773" max="10773" width="5.7109375" style="194" customWidth="1"/>
    <col min="10774" max="10774" width="2.7109375" style="194" customWidth="1"/>
    <col min="10775" max="10776" width="9.140625" style="194"/>
    <col min="10777" max="10777" width="13.42578125" style="194" customWidth="1"/>
    <col min="10778" max="11008" width="9.140625" style="194"/>
    <col min="11009" max="11010" width="2.7109375" style="194" customWidth="1"/>
    <col min="11011" max="11011" width="15.85546875" style="194" customWidth="1"/>
    <col min="11012" max="11012" width="3.7109375" style="194" customWidth="1"/>
    <col min="11013" max="11013" width="6.7109375" style="194" customWidth="1"/>
    <col min="11014" max="11014" width="2.7109375" style="194" customWidth="1"/>
    <col min="11015" max="11016" width="6.7109375" style="194" customWidth="1"/>
    <col min="11017" max="11021" width="5.7109375" style="194" customWidth="1"/>
    <col min="11022" max="11022" width="3.140625" style="194" bestFit="1" customWidth="1"/>
    <col min="11023" max="11023" width="5.7109375" style="194" customWidth="1"/>
    <col min="11024" max="11024" width="6.7109375" style="194" customWidth="1"/>
    <col min="11025" max="11025" width="7.7109375" style="194" customWidth="1"/>
    <col min="11026" max="11026" width="5.7109375" style="194" customWidth="1"/>
    <col min="11027" max="11027" width="6.7109375" style="194" customWidth="1"/>
    <col min="11028" max="11028" width="7.7109375" style="194" customWidth="1"/>
    <col min="11029" max="11029" width="5.7109375" style="194" customWidth="1"/>
    <col min="11030" max="11030" width="2.7109375" style="194" customWidth="1"/>
    <col min="11031" max="11032" width="9.140625" style="194"/>
    <col min="11033" max="11033" width="13.42578125" style="194" customWidth="1"/>
    <col min="11034" max="11264" width="9.140625" style="194"/>
    <col min="11265" max="11266" width="2.7109375" style="194" customWidth="1"/>
    <col min="11267" max="11267" width="15.85546875" style="194" customWidth="1"/>
    <col min="11268" max="11268" width="3.7109375" style="194" customWidth="1"/>
    <col min="11269" max="11269" width="6.7109375" style="194" customWidth="1"/>
    <col min="11270" max="11270" width="2.7109375" style="194" customWidth="1"/>
    <col min="11271" max="11272" width="6.7109375" style="194" customWidth="1"/>
    <col min="11273" max="11277" width="5.7109375" style="194" customWidth="1"/>
    <col min="11278" max="11278" width="3.140625" style="194" bestFit="1" customWidth="1"/>
    <col min="11279" max="11279" width="5.7109375" style="194" customWidth="1"/>
    <col min="11280" max="11280" width="6.7109375" style="194" customWidth="1"/>
    <col min="11281" max="11281" width="7.7109375" style="194" customWidth="1"/>
    <col min="11282" max="11282" width="5.7109375" style="194" customWidth="1"/>
    <col min="11283" max="11283" width="6.7109375" style="194" customWidth="1"/>
    <col min="11284" max="11284" width="7.7109375" style="194" customWidth="1"/>
    <col min="11285" max="11285" width="5.7109375" style="194" customWidth="1"/>
    <col min="11286" max="11286" width="2.7109375" style="194" customWidth="1"/>
    <col min="11287" max="11288" width="9.140625" style="194"/>
    <col min="11289" max="11289" width="13.42578125" style="194" customWidth="1"/>
    <col min="11290" max="11520" width="9.140625" style="194"/>
    <col min="11521" max="11522" width="2.7109375" style="194" customWidth="1"/>
    <col min="11523" max="11523" width="15.85546875" style="194" customWidth="1"/>
    <col min="11524" max="11524" width="3.7109375" style="194" customWidth="1"/>
    <col min="11525" max="11525" width="6.7109375" style="194" customWidth="1"/>
    <col min="11526" max="11526" width="2.7109375" style="194" customWidth="1"/>
    <col min="11527" max="11528" width="6.7109375" style="194" customWidth="1"/>
    <col min="11529" max="11533" width="5.7109375" style="194" customWidth="1"/>
    <col min="11534" max="11534" width="3.140625" style="194" bestFit="1" customWidth="1"/>
    <col min="11535" max="11535" width="5.7109375" style="194" customWidth="1"/>
    <col min="11536" max="11536" width="6.7109375" style="194" customWidth="1"/>
    <col min="11537" max="11537" width="7.7109375" style="194" customWidth="1"/>
    <col min="11538" max="11538" width="5.7109375" style="194" customWidth="1"/>
    <col min="11539" max="11539" width="6.7109375" style="194" customWidth="1"/>
    <col min="11540" max="11540" width="7.7109375" style="194" customWidth="1"/>
    <col min="11541" max="11541" width="5.7109375" style="194" customWidth="1"/>
    <col min="11542" max="11542" width="2.7109375" style="194" customWidth="1"/>
    <col min="11543" max="11544" width="9.140625" style="194"/>
    <col min="11545" max="11545" width="13.42578125" style="194" customWidth="1"/>
    <col min="11546" max="11776" width="9.140625" style="194"/>
    <col min="11777" max="11778" width="2.7109375" style="194" customWidth="1"/>
    <col min="11779" max="11779" width="15.85546875" style="194" customWidth="1"/>
    <col min="11780" max="11780" width="3.7109375" style="194" customWidth="1"/>
    <col min="11781" max="11781" width="6.7109375" style="194" customWidth="1"/>
    <col min="11782" max="11782" width="2.7109375" style="194" customWidth="1"/>
    <col min="11783" max="11784" width="6.7109375" style="194" customWidth="1"/>
    <col min="11785" max="11789" width="5.7109375" style="194" customWidth="1"/>
    <col min="11790" max="11790" width="3.140625" style="194" bestFit="1" customWidth="1"/>
    <col min="11791" max="11791" width="5.7109375" style="194" customWidth="1"/>
    <col min="11792" max="11792" width="6.7109375" style="194" customWidth="1"/>
    <col min="11793" max="11793" width="7.7109375" style="194" customWidth="1"/>
    <col min="11794" max="11794" width="5.7109375" style="194" customWidth="1"/>
    <col min="11795" max="11795" width="6.7109375" style="194" customWidth="1"/>
    <col min="11796" max="11796" width="7.7109375" style="194" customWidth="1"/>
    <col min="11797" max="11797" width="5.7109375" style="194" customWidth="1"/>
    <col min="11798" max="11798" width="2.7109375" style="194" customWidth="1"/>
    <col min="11799" max="11800" width="9.140625" style="194"/>
    <col min="11801" max="11801" width="13.42578125" style="194" customWidth="1"/>
    <col min="11802" max="12032" width="9.140625" style="194"/>
    <col min="12033" max="12034" width="2.7109375" style="194" customWidth="1"/>
    <col min="12035" max="12035" width="15.85546875" style="194" customWidth="1"/>
    <col min="12036" max="12036" width="3.7109375" style="194" customWidth="1"/>
    <col min="12037" max="12037" width="6.7109375" style="194" customWidth="1"/>
    <col min="12038" max="12038" width="2.7109375" style="194" customWidth="1"/>
    <col min="12039" max="12040" width="6.7109375" style="194" customWidth="1"/>
    <col min="12041" max="12045" width="5.7109375" style="194" customWidth="1"/>
    <col min="12046" max="12046" width="3.140625" style="194" bestFit="1" customWidth="1"/>
    <col min="12047" max="12047" width="5.7109375" style="194" customWidth="1"/>
    <col min="12048" max="12048" width="6.7109375" style="194" customWidth="1"/>
    <col min="12049" max="12049" width="7.7109375" style="194" customWidth="1"/>
    <col min="12050" max="12050" width="5.7109375" style="194" customWidth="1"/>
    <col min="12051" max="12051" width="6.7109375" style="194" customWidth="1"/>
    <col min="12052" max="12052" width="7.7109375" style="194" customWidth="1"/>
    <col min="12053" max="12053" width="5.7109375" style="194" customWidth="1"/>
    <col min="12054" max="12054" width="2.7109375" style="194" customWidth="1"/>
    <col min="12055" max="12056" width="9.140625" style="194"/>
    <col min="12057" max="12057" width="13.42578125" style="194" customWidth="1"/>
    <col min="12058" max="12288" width="9.140625" style="194"/>
    <col min="12289" max="12290" width="2.7109375" style="194" customWidth="1"/>
    <col min="12291" max="12291" width="15.85546875" style="194" customWidth="1"/>
    <col min="12292" max="12292" width="3.7109375" style="194" customWidth="1"/>
    <col min="12293" max="12293" width="6.7109375" style="194" customWidth="1"/>
    <col min="12294" max="12294" width="2.7109375" style="194" customWidth="1"/>
    <col min="12295" max="12296" width="6.7109375" style="194" customWidth="1"/>
    <col min="12297" max="12301" width="5.7109375" style="194" customWidth="1"/>
    <col min="12302" max="12302" width="3.140625" style="194" bestFit="1" customWidth="1"/>
    <col min="12303" max="12303" width="5.7109375" style="194" customWidth="1"/>
    <col min="12304" max="12304" width="6.7109375" style="194" customWidth="1"/>
    <col min="12305" max="12305" width="7.7109375" style="194" customWidth="1"/>
    <col min="12306" max="12306" width="5.7109375" style="194" customWidth="1"/>
    <col min="12307" max="12307" width="6.7109375" style="194" customWidth="1"/>
    <col min="12308" max="12308" width="7.7109375" style="194" customWidth="1"/>
    <col min="12309" max="12309" width="5.7109375" style="194" customWidth="1"/>
    <col min="12310" max="12310" width="2.7109375" style="194" customWidth="1"/>
    <col min="12311" max="12312" width="9.140625" style="194"/>
    <col min="12313" max="12313" width="13.42578125" style="194" customWidth="1"/>
    <col min="12314" max="12544" width="9.140625" style="194"/>
    <col min="12545" max="12546" width="2.7109375" style="194" customWidth="1"/>
    <col min="12547" max="12547" width="15.85546875" style="194" customWidth="1"/>
    <col min="12548" max="12548" width="3.7109375" style="194" customWidth="1"/>
    <col min="12549" max="12549" width="6.7109375" style="194" customWidth="1"/>
    <col min="12550" max="12550" width="2.7109375" style="194" customWidth="1"/>
    <col min="12551" max="12552" width="6.7109375" style="194" customWidth="1"/>
    <col min="12553" max="12557" width="5.7109375" style="194" customWidth="1"/>
    <col min="12558" max="12558" width="3.140625" style="194" bestFit="1" customWidth="1"/>
    <col min="12559" max="12559" width="5.7109375" style="194" customWidth="1"/>
    <col min="12560" max="12560" width="6.7109375" style="194" customWidth="1"/>
    <col min="12561" max="12561" width="7.7109375" style="194" customWidth="1"/>
    <col min="12562" max="12562" width="5.7109375" style="194" customWidth="1"/>
    <col min="12563" max="12563" width="6.7109375" style="194" customWidth="1"/>
    <col min="12564" max="12564" width="7.7109375" style="194" customWidth="1"/>
    <col min="12565" max="12565" width="5.7109375" style="194" customWidth="1"/>
    <col min="12566" max="12566" width="2.7109375" style="194" customWidth="1"/>
    <col min="12567" max="12568" width="9.140625" style="194"/>
    <col min="12569" max="12569" width="13.42578125" style="194" customWidth="1"/>
    <col min="12570" max="12800" width="9.140625" style="194"/>
    <col min="12801" max="12802" width="2.7109375" style="194" customWidth="1"/>
    <col min="12803" max="12803" width="15.85546875" style="194" customWidth="1"/>
    <col min="12804" max="12804" width="3.7109375" style="194" customWidth="1"/>
    <col min="12805" max="12805" width="6.7109375" style="194" customWidth="1"/>
    <col min="12806" max="12806" width="2.7109375" style="194" customWidth="1"/>
    <col min="12807" max="12808" width="6.7109375" style="194" customWidth="1"/>
    <col min="12809" max="12813" width="5.7109375" style="194" customWidth="1"/>
    <col min="12814" max="12814" width="3.140625" style="194" bestFit="1" customWidth="1"/>
    <col min="12815" max="12815" width="5.7109375" style="194" customWidth="1"/>
    <col min="12816" max="12816" width="6.7109375" style="194" customWidth="1"/>
    <col min="12817" max="12817" width="7.7109375" style="194" customWidth="1"/>
    <col min="12818" max="12818" width="5.7109375" style="194" customWidth="1"/>
    <col min="12819" max="12819" width="6.7109375" style="194" customWidth="1"/>
    <col min="12820" max="12820" width="7.7109375" style="194" customWidth="1"/>
    <col min="12821" max="12821" width="5.7109375" style="194" customWidth="1"/>
    <col min="12822" max="12822" width="2.7109375" style="194" customWidth="1"/>
    <col min="12823" max="12824" width="9.140625" style="194"/>
    <col min="12825" max="12825" width="13.42578125" style="194" customWidth="1"/>
    <col min="12826" max="13056" width="9.140625" style="194"/>
    <col min="13057" max="13058" width="2.7109375" style="194" customWidth="1"/>
    <col min="13059" max="13059" width="15.85546875" style="194" customWidth="1"/>
    <col min="13060" max="13060" width="3.7109375" style="194" customWidth="1"/>
    <col min="13061" max="13061" width="6.7109375" style="194" customWidth="1"/>
    <col min="13062" max="13062" width="2.7109375" style="194" customWidth="1"/>
    <col min="13063" max="13064" width="6.7109375" style="194" customWidth="1"/>
    <col min="13065" max="13069" width="5.7109375" style="194" customWidth="1"/>
    <col min="13070" max="13070" width="3.140625" style="194" bestFit="1" customWidth="1"/>
    <col min="13071" max="13071" width="5.7109375" style="194" customWidth="1"/>
    <col min="13072" max="13072" width="6.7109375" style="194" customWidth="1"/>
    <col min="13073" max="13073" width="7.7109375" style="194" customWidth="1"/>
    <col min="13074" max="13074" width="5.7109375" style="194" customWidth="1"/>
    <col min="13075" max="13075" width="6.7109375" style="194" customWidth="1"/>
    <col min="13076" max="13076" width="7.7109375" style="194" customWidth="1"/>
    <col min="13077" max="13077" width="5.7109375" style="194" customWidth="1"/>
    <col min="13078" max="13078" width="2.7109375" style="194" customWidth="1"/>
    <col min="13079" max="13080" width="9.140625" style="194"/>
    <col min="13081" max="13081" width="13.42578125" style="194" customWidth="1"/>
    <col min="13082" max="13312" width="9.140625" style="194"/>
    <col min="13313" max="13314" width="2.7109375" style="194" customWidth="1"/>
    <col min="13315" max="13315" width="15.85546875" style="194" customWidth="1"/>
    <col min="13316" max="13316" width="3.7109375" style="194" customWidth="1"/>
    <col min="13317" max="13317" width="6.7109375" style="194" customWidth="1"/>
    <col min="13318" max="13318" width="2.7109375" style="194" customWidth="1"/>
    <col min="13319" max="13320" width="6.7109375" style="194" customWidth="1"/>
    <col min="13321" max="13325" width="5.7109375" style="194" customWidth="1"/>
    <col min="13326" max="13326" width="3.140625" style="194" bestFit="1" customWidth="1"/>
    <col min="13327" max="13327" width="5.7109375" style="194" customWidth="1"/>
    <col min="13328" max="13328" width="6.7109375" style="194" customWidth="1"/>
    <col min="13329" max="13329" width="7.7109375" style="194" customWidth="1"/>
    <col min="13330" max="13330" width="5.7109375" style="194" customWidth="1"/>
    <col min="13331" max="13331" width="6.7109375" style="194" customWidth="1"/>
    <col min="13332" max="13332" width="7.7109375" style="194" customWidth="1"/>
    <col min="13333" max="13333" width="5.7109375" style="194" customWidth="1"/>
    <col min="13334" max="13334" width="2.7109375" style="194" customWidth="1"/>
    <col min="13335" max="13336" width="9.140625" style="194"/>
    <col min="13337" max="13337" width="13.42578125" style="194" customWidth="1"/>
    <col min="13338" max="13568" width="9.140625" style="194"/>
    <col min="13569" max="13570" width="2.7109375" style="194" customWidth="1"/>
    <col min="13571" max="13571" width="15.85546875" style="194" customWidth="1"/>
    <col min="13572" max="13572" width="3.7109375" style="194" customWidth="1"/>
    <col min="13573" max="13573" width="6.7109375" style="194" customWidth="1"/>
    <col min="13574" max="13574" width="2.7109375" style="194" customWidth="1"/>
    <col min="13575" max="13576" width="6.7109375" style="194" customWidth="1"/>
    <col min="13577" max="13581" width="5.7109375" style="194" customWidth="1"/>
    <col min="13582" max="13582" width="3.140625" style="194" bestFit="1" customWidth="1"/>
    <col min="13583" max="13583" width="5.7109375" style="194" customWidth="1"/>
    <col min="13584" max="13584" width="6.7109375" style="194" customWidth="1"/>
    <col min="13585" max="13585" width="7.7109375" style="194" customWidth="1"/>
    <col min="13586" max="13586" width="5.7109375" style="194" customWidth="1"/>
    <col min="13587" max="13587" width="6.7109375" style="194" customWidth="1"/>
    <col min="13588" max="13588" width="7.7109375" style="194" customWidth="1"/>
    <col min="13589" max="13589" width="5.7109375" style="194" customWidth="1"/>
    <col min="13590" max="13590" width="2.7109375" style="194" customWidth="1"/>
    <col min="13591" max="13592" width="9.140625" style="194"/>
    <col min="13593" max="13593" width="13.42578125" style="194" customWidth="1"/>
    <col min="13594" max="13824" width="9.140625" style="194"/>
    <col min="13825" max="13826" width="2.7109375" style="194" customWidth="1"/>
    <col min="13827" max="13827" width="15.85546875" style="194" customWidth="1"/>
    <col min="13828" max="13828" width="3.7109375" style="194" customWidth="1"/>
    <col min="13829" max="13829" width="6.7109375" style="194" customWidth="1"/>
    <col min="13830" max="13830" width="2.7109375" style="194" customWidth="1"/>
    <col min="13831" max="13832" width="6.7109375" style="194" customWidth="1"/>
    <col min="13833" max="13837" width="5.7109375" style="194" customWidth="1"/>
    <col min="13838" max="13838" width="3.140625" style="194" bestFit="1" customWidth="1"/>
    <col min="13839" max="13839" width="5.7109375" style="194" customWidth="1"/>
    <col min="13840" max="13840" width="6.7109375" style="194" customWidth="1"/>
    <col min="13841" max="13841" width="7.7109375" style="194" customWidth="1"/>
    <col min="13842" max="13842" width="5.7109375" style="194" customWidth="1"/>
    <col min="13843" max="13843" width="6.7109375" style="194" customWidth="1"/>
    <col min="13844" max="13844" width="7.7109375" style="194" customWidth="1"/>
    <col min="13845" max="13845" width="5.7109375" style="194" customWidth="1"/>
    <col min="13846" max="13846" width="2.7109375" style="194" customWidth="1"/>
    <col min="13847" max="13848" width="9.140625" style="194"/>
    <col min="13849" max="13849" width="13.42578125" style="194" customWidth="1"/>
    <col min="13850" max="14080" width="9.140625" style="194"/>
    <col min="14081" max="14082" width="2.7109375" style="194" customWidth="1"/>
    <col min="14083" max="14083" width="15.85546875" style="194" customWidth="1"/>
    <col min="14084" max="14084" width="3.7109375" style="194" customWidth="1"/>
    <col min="14085" max="14085" width="6.7109375" style="194" customWidth="1"/>
    <col min="14086" max="14086" width="2.7109375" style="194" customWidth="1"/>
    <col min="14087" max="14088" width="6.7109375" style="194" customWidth="1"/>
    <col min="14089" max="14093" width="5.7109375" style="194" customWidth="1"/>
    <col min="14094" max="14094" width="3.140625" style="194" bestFit="1" customWidth="1"/>
    <col min="14095" max="14095" width="5.7109375" style="194" customWidth="1"/>
    <col min="14096" max="14096" width="6.7109375" style="194" customWidth="1"/>
    <col min="14097" max="14097" width="7.7109375" style="194" customWidth="1"/>
    <col min="14098" max="14098" width="5.7109375" style="194" customWidth="1"/>
    <col min="14099" max="14099" width="6.7109375" style="194" customWidth="1"/>
    <col min="14100" max="14100" width="7.7109375" style="194" customWidth="1"/>
    <col min="14101" max="14101" width="5.7109375" style="194" customWidth="1"/>
    <col min="14102" max="14102" width="2.7109375" style="194" customWidth="1"/>
    <col min="14103" max="14104" width="9.140625" style="194"/>
    <col min="14105" max="14105" width="13.42578125" style="194" customWidth="1"/>
    <col min="14106" max="14336" width="9.140625" style="194"/>
    <col min="14337" max="14338" width="2.7109375" style="194" customWidth="1"/>
    <col min="14339" max="14339" width="15.85546875" style="194" customWidth="1"/>
    <col min="14340" max="14340" width="3.7109375" style="194" customWidth="1"/>
    <col min="14341" max="14341" width="6.7109375" style="194" customWidth="1"/>
    <col min="14342" max="14342" width="2.7109375" style="194" customWidth="1"/>
    <col min="14343" max="14344" width="6.7109375" style="194" customWidth="1"/>
    <col min="14345" max="14349" width="5.7109375" style="194" customWidth="1"/>
    <col min="14350" max="14350" width="3.140625" style="194" bestFit="1" customWidth="1"/>
    <col min="14351" max="14351" width="5.7109375" style="194" customWidth="1"/>
    <col min="14352" max="14352" width="6.7109375" style="194" customWidth="1"/>
    <col min="14353" max="14353" width="7.7109375" style="194" customWidth="1"/>
    <col min="14354" max="14354" width="5.7109375" style="194" customWidth="1"/>
    <col min="14355" max="14355" width="6.7109375" style="194" customWidth="1"/>
    <col min="14356" max="14356" width="7.7109375" style="194" customWidth="1"/>
    <col min="14357" max="14357" width="5.7109375" style="194" customWidth="1"/>
    <col min="14358" max="14358" width="2.7109375" style="194" customWidth="1"/>
    <col min="14359" max="14360" width="9.140625" style="194"/>
    <col min="14361" max="14361" width="13.42578125" style="194" customWidth="1"/>
    <col min="14362" max="14592" width="9.140625" style="194"/>
    <col min="14593" max="14594" width="2.7109375" style="194" customWidth="1"/>
    <col min="14595" max="14595" width="15.85546875" style="194" customWidth="1"/>
    <col min="14596" max="14596" width="3.7109375" style="194" customWidth="1"/>
    <col min="14597" max="14597" width="6.7109375" style="194" customWidth="1"/>
    <col min="14598" max="14598" width="2.7109375" style="194" customWidth="1"/>
    <col min="14599" max="14600" width="6.7109375" style="194" customWidth="1"/>
    <col min="14601" max="14605" width="5.7109375" style="194" customWidth="1"/>
    <col min="14606" max="14606" width="3.140625" style="194" bestFit="1" customWidth="1"/>
    <col min="14607" max="14607" width="5.7109375" style="194" customWidth="1"/>
    <col min="14608" max="14608" width="6.7109375" style="194" customWidth="1"/>
    <col min="14609" max="14609" width="7.7109375" style="194" customWidth="1"/>
    <col min="14610" max="14610" width="5.7109375" style="194" customWidth="1"/>
    <col min="14611" max="14611" width="6.7109375" style="194" customWidth="1"/>
    <col min="14612" max="14612" width="7.7109375" style="194" customWidth="1"/>
    <col min="14613" max="14613" width="5.7109375" style="194" customWidth="1"/>
    <col min="14614" max="14614" width="2.7109375" style="194" customWidth="1"/>
    <col min="14615" max="14616" width="9.140625" style="194"/>
    <col min="14617" max="14617" width="13.42578125" style="194" customWidth="1"/>
    <col min="14618" max="14848" width="9.140625" style="194"/>
    <col min="14849" max="14850" width="2.7109375" style="194" customWidth="1"/>
    <col min="14851" max="14851" width="15.85546875" style="194" customWidth="1"/>
    <col min="14852" max="14852" width="3.7109375" style="194" customWidth="1"/>
    <col min="14853" max="14853" width="6.7109375" style="194" customWidth="1"/>
    <col min="14854" max="14854" width="2.7109375" style="194" customWidth="1"/>
    <col min="14855" max="14856" width="6.7109375" style="194" customWidth="1"/>
    <col min="14857" max="14861" width="5.7109375" style="194" customWidth="1"/>
    <col min="14862" max="14862" width="3.140625" style="194" bestFit="1" customWidth="1"/>
    <col min="14863" max="14863" width="5.7109375" style="194" customWidth="1"/>
    <col min="14864" max="14864" width="6.7109375" style="194" customWidth="1"/>
    <col min="14865" max="14865" width="7.7109375" style="194" customWidth="1"/>
    <col min="14866" max="14866" width="5.7109375" style="194" customWidth="1"/>
    <col min="14867" max="14867" width="6.7109375" style="194" customWidth="1"/>
    <col min="14868" max="14868" width="7.7109375" style="194" customWidth="1"/>
    <col min="14869" max="14869" width="5.7109375" style="194" customWidth="1"/>
    <col min="14870" max="14870" width="2.7109375" style="194" customWidth="1"/>
    <col min="14871" max="14872" width="9.140625" style="194"/>
    <col min="14873" max="14873" width="13.42578125" style="194" customWidth="1"/>
    <col min="14874" max="15104" width="9.140625" style="194"/>
    <col min="15105" max="15106" width="2.7109375" style="194" customWidth="1"/>
    <col min="15107" max="15107" width="15.85546875" style="194" customWidth="1"/>
    <col min="15108" max="15108" width="3.7109375" style="194" customWidth="1"/>
    <col min="15109" max="15109" width="6.7109375" style="194" customWidth="1"/>
    <col min="15110" max="15110" width="2.7109375" style="194" customWidth="1"/>
    <col min="15111" max="15112" width="6.7109375" style="194" customWidth="1"/>
    <col min="15113" max="15117" width="5.7109375" style="194" customWidth="1"/>
    <col min="15118" max="15118" width="3.140625" style="194" bestFit="1" customWidth="1"/>
    <col min="15119" max="15119" width="5.7109375" style="194" customWidth="1"/>
    <col min="15120" max="15120" width="6.7109375" style="194" customWidth="1"/>
    <col min="15121" max="15121" width="7.7109375" style="194" customWidth="1"/>
    <col min="15122" max="15122" width="5.7109375" style="194" customWidth="1"/>
    <col min="15123" max="15123" width="6.7109375" style="194" customWidth="1"/>
    <col min="15124" max="15124" width="7.7109375" style="194" customWidth="1"/>
    <col min="15125" max="15125" width="5.7109375" style="194" customWidth="1"/>
    <col min="15126" max="15126" width="2.7109375" style="194" customWidth="1"/>
    <col min="15127" max="15128" width="9.140625" style="194"/>
    <col min="15129" max="15129" width="13.42578125" style="194" customWidth="1"/>
    <col min="15130" max="15360" width="9.140625" style="194"/>
    <col min="15361" max="15362" width="2.7109375" style="194" customWidth="1"/>
    <col min="15363" max="15363" width="15.85546875" style="194" customWidth="1"/>
    <col min="15364" max="15364" width="3.7109375" style="194" customWidth="1"/>
    <col min="15365" max="15365" width="6.7109375" style="194" customWidth="1"/>
    <col min="15366" max="15366" width="2.7109375" style="194" customWidth="1"/>
    <col min="15367" max="15368" width="6.7109375" style="194" customWidth="1"/>
    <col min="15369" max="15373" width="5.7109375" style="194" customWidth="1"/>
    <col min="15374" max="15374" width="3.140625" style="194" bestFit="1" customWidth="1"/>
    <col min="15375" max="15375" width="5.7109375" style="194" customWidth="1"/>
    <col min="15376" max="15376" width="6.7109375" style="194" customWidth="1"/>
    <col min="15377" max="15377" width="7.7109375" style="194" customWidth="1"/>
    <col min="15378" max="15378" width="5.7109375" style="194" customWidth="1"/>
    <col min="15379" max="15379" width="6.7109375" style="194" customWidth="1"/>
    <col min="15380" max="15380" width="7.7109375" style="194" customWidth="1"/>
    <col min="15381" max="15381" width="5.7109375" style="194" customWidth="1"/>
    <col min="15382" max="15382" width="2.7109375" style="194" customWidth="1"/>
    <col min="15383" max="15384" width="9.140625" style="194"/>
    <col min="15385" max="15385" width="13.42578125" style="194" customWidth="1"/>
    <col min="15386" max="15616" width="9.140625" style="194"/>
    <col min="15617" max="15618" width="2.7109375" style="194" customWidth="1"/>
    <col min="15619" max="15619" width="15.85546875" style="194" customWidth="1"/>
    <col min="15620" max="15620" width="3.7109375" style="194" customWidth="1"/>
    <col min="15621" max="15621" width="6.7109375" style="194" customWidth="1"/>
    <col min="15622" max="15622" width="2.7109375" style="194" customWidth="1"/>
    <col min="15623" max="15624" width="6.7109375" style="194" customWidth="1"/>
    <col min="15625" max="15629" width="5.7109375" style="194" customWidth="1"/>
    <col min="15630" max="15630" width="3.140625" style="194" bestFit="1" customWidth="1"/>
    <col min="15631" max="15631" width="5.7109375" style="194" customWidth="1"/>
    <col min="15632" max="15632" width="6.7109375" style="194" customWidth="1"/>
    <col min="15633" max="15633" width="7.7109375" style="194" customWidth="1"/>
    <col min="15634" max="15634" width="5.7109375" style="194" customWidth="1"/>
    <col min="15635" max="15635" width="6.7109375" style="194" customWidth="1"/>
    <col min="15636" max="15636" width="7.7109375" style="194" customWidth="1"/>
    <col min="15637" max="15637" width="5.7109375" style="194" customWidth="1"/>
    <col min="15638" max="15638" width="2.7109375" style="194" customWidth="1"/>
    <col min="15639" max="15640" width="9.140625" style="194"/>
    <col min="15641" max="15641" width="13.42578125" style="194" customWidth="1"/>
    <col min="15642" max="15872" width="9.140625" style="194"/>
    <col min="15873" max="15874" width="2.7109375" style="194" customWidth="1"/>
    <col min="15875" max="15875" width="15.85546875" style="194" customWidth="1"/>
    <col min="15876" max="15876" width="3.7109375" style="194" customWidth="1"/>
    <col min="15877" max="15877" width="6.7109375" style="194" customWidth="1"/>
    <col min="15878" max="15878" width="2.7109375" style="194" customWidth="1"/>
    <col min="15879" max="15880" width="6.7109375" style="194" customWidth="1"/>
    <col min="15881" max="15885" width="5.7109375" style="194" customWidth="1"/>
    <col min="15886" max="15886" width="3.140625" style="194" bestFit="1" customWidth="1"/>
    <col min="15887" max="15887" width="5.7109375" style="194" customWidth="1"/>
    <col min="15888" max="15888" width="6.7109375" style="194" customWidth="1"/>
    <col min="15889" max="15889" width="7.7109375" style="194" customWidth="1"/>
    <col min="15890" max="15890" width="5.7109375" style="194" customWidth="1"/>
    <col min="15891" max="15891" width="6.7109375" style="194" customWidth="1"/>
    <col min="15892" max="15892" width="7.7109375" style="194" customWidth="1"/>
    <col min="15893" max="15893" width="5.7109375" style="194" customWidth="1"/>
    <col min="15894" max="15894" width="2.7109375" style="194" customWidth="1"/>
    <col min="15895" max="15896" width="9.140625" style="194"/>
    <col min="15897" max="15897" width="13.42578125" style="194" customWidth="1"/>
    <col min="15898" max="16128" width="9.140625" style="194"/>
    <col min="16129" max="16130" width="2.7109375" style="194" customWidth="1"/>
    <col min="16131" max="16131" width="15.85546875" style="194" customWidth="1"/>
    <col min="16132" max="16132" width="3.7109375" style="194" customWidth="1"/>
    <col min="16133" max="16133" width="6.7109375" style="194" customWidth="1"/>
    <col min="16134" max="16134" width="2.7109375" style="194" customWidth="1"/>
    <col min="16135" max="16136" width="6.7109375" style="194" customWidth="1"/>
    <col min="16137" max="16141" width="5.7109375" style="194" customWidth="1"/>
    <col min="16142" max="16142" width="3.140625" style="194" bestFit="1" customWidth="1"/>
    <col min="16143" max="16143" width="5.7109375" style="194" customWidth="1"/>
    <col min="16144" max="16144" width="6.7109375" style="194" customWidth="1"/>
    <col min="16145" max="16145" width="7.7109375" style="194" customWidth="1"/>
    <col min="16146" max="16146" width="5.7109375" style="194" customWidth="1"/>
    <col min="16147" max="16147" width="6.7109375" style="194" customWidth="1"/>
    <col min="16148" max="16148" width="7.7109375" style="194" customWidth="1"/>
    <col min="16149" max="16149" width="5.7109375" style="194" customWidth="1"/>
    <col min="16150" max="16150" width="2.7109375" style="194" customWidth="1"/>
    <col min="16151" max="16152" width="9.140625" style="194"/>
    <col min="16153" max="16153" width="13.42578125" style="194" customWidth="1"/>
    <col min="16154" max="16384" width="9.140625" style="194"/>
  </cols>
  <sheetData>
    <row r="1" spans="1:24" ht="18" x14ac:dyDescent="0.25">
      <c r="A1" s="1"/>
      <c r="C1" s="1"/>
      <c r="D1" s="5"/>
      <c r="E1" s="5"/>
      <c r="F1" s="5"/>
      <c r="G1" s="5"/>
      <c r="H1" s="5"/>
      <c r="I1" s="93"/>
      <c r="J1" s="93" t="s">
        <v>374</v>
      </c>
      <c r="K1" s="6"/>
      <c r="L1" s="6"/>
      <c r="M1" s="6"/>
      <c r="N1" s="94"/>
      <c r="O1" s="95"/>
      <c r="P1" s="95"/>
      <c r="Q1" s="95"/>
      <c r="R1" s="95"/>
      <c r="S1" s="95"/>
      <c r="T1" s="553" t="s">
        <v>375</v>
      </c>
      <c r="U1" s="553" t="s">
        <v>724</v>
      </c>
      <c r="V1" s="553"/>
    </row>
    <row r="2" spans="1:24" ht="15.75" x14ac:dyDescent="0.25">
      <c r="A2" s="1"/>
      <c r="C2" s="1"/>
      <c r="D2" s="6"/>
      <c r="E2" s="10"/>
      <c r="F2" s="10"/>
      <c r="G2" s="10"/>
      <c r="H2" s="6"/>
      <c r="I2" s="10"/>
      <c r="J2" s="10"/>
      <c r="K2" s="10"/>
      <c r="L2" s="10"/>
      <c r="M2" s="10"/>
      <c r="N2" s="96"/>
      <c r="O2" s="97"/>
      <c r="P2" s="97"/>
      <c r="Q2" s="97"/>
      <c r="R2" s="98"/>
      <c r="S2" s="98"/>
      <c r="T2" s="11" t="s">
        <v>377</v>
      </c>
      <c r="U2" s="11"/>
      <c r="V2" s="11"/>
      <c r="W2" s="638" t="s">
        <v>781</v>
      </c>
      <c r="X2" s="638"/>
    </row>
    <row r="3" spans="1:24" x14ac:dyDescent="0.25">
      <c r="A3" s="6"/>
      <c r="B3" s="195"/>
      <c r="C3" s="6"/>
      <c r="D3" s="6"/>
      <c r="E3" s="6"/>
      <c r="F3" s="6"/>
      <c r="G3" s="6"/>
      <c r="H3" s="589" t="s">
        <v>423</v>
      </c>
      <c r="I3" s="589"/>
      <c r="J3" s="589"/>
      <c r="K3" s="589"/>
      <c r="L3" s="553"/>
      <c r="M3" s="553"/>
      <c r="N3" s="99"/>
      <c r="O3" s="97"/>
      <c r="P3" s="97"/>
      <c r="Q3" s="97"/>
      <c r="R3" s="98"/>
      <c r="S3" s="98"/>
      <c r="T3" s="11" t="s">
        <v>378</v>
      </c>
      <c r="U3" s="563">
        <v>41713</v>
      </c>
      <c r="V3" s="11"/>
    </row>
    <row r="4" spans="1:24" ht="15.75" thickBot="1" x14ac:dyDescent="0.3">
      <c r="A4" s="789" t="s">
        <v>18</v>
      </c>
      <c r="B4" s="789"/>
      <c r="C4" s="789"/>
      <c r="D4" s="100"/>
      <c r="E4" s="100"/>
      <c r="F4" s="100"/>
      <c r="G4" s="100"/>
      <c r="H4" s="790" t="s">
        <v>729</v>
      </c>
      <c r="I4" s="790"/>
      <c r="J4" s="790"/>
      <c r="K4" s="790"/>
      <c r="L4" s="790"/>
      <c r="M4" s="102"/>
      <c r="N4" s="103"/>
      <c r="O4" s="101"/>
      <c r="P4" s="101"/>
      <c r="Q4" s="101"/>
      <c r="R4" s="101"/>
      <c r="S4" s="101"/>
      <c r="T4" s="100" t="s">
        <v>380</v>
      </c>
      <c r="U4" s="100" t="s">
        <v>725</v>
      </c>
      <c r="V4" s="6"/>
    </row>
    <row r="5" spans="1:24" x14ac:dyDescent="0.25">
      <c r="A5" s="104"/>
      <c r="B5" s="105"/>
      <c r="C5" s="105"/>
      <c r="D5" s="106"/>
      <c r="E5" s="107" t="s">
        <v>367</v>
      </c>
      <c r="F5" s="108"/>
      <c r="G5" s="107" t="s">
        <v>368</v>
      </c>
      <c r="H5" s="108"/>
      <c r="I5" s="109" t="s">
        <v>369</v>
      </c>
      <c r="J5" s="110"/>
      <c r="K5" s="110"/>
      <c r="L5" s="110"/>
      <c r="M5" s="110"/>
      <c r="N5" s="111"/>
      <c r="O5" s="110"/>
      <c r="P5" s="112"/>
      <c r="Q5" s="107" t="s">
        <v>381</v>
      </c>
      <c r="R5" s="110"/>
      <c r="S5" s="112"/>
      <c r="T5" s="113"/>
      <c r="U5" s="114"/>
      <c r="V5" s="115"/>
    </row>
    <row r="6" spans="1:24" x14ac:dyDescent="0.25">
      <c r="A6" s="116" t="s">
        <v>382</v>
      </c>
      <c r="B6" s="117"/>
      <c r="C6" s="117"/>
      <c r="D6" s="118" t="s">
        <v>383</v>
      </c>
      <c r="E6" s="119"/>
      <c r="F6" s="120"/>
      <c r="G6" s="121" t="s">
        <v>12</v>
      </c>
      <c r="H6" s="122" t="s">
        <v>384</v>
      </c>
      <c r="I6" s="123"/>
      <c r="J6" s="124" t="s">
        <v>385</v>
      </c>
      <c r="K6" s="124" t="s">
        <v>370</v>
      </c>
      <c r="L6" s="124" t="s">
        <v>370</v>
      </c>
      <c r="M6" s="124"/>
      <c r="N6" s="125"/>
      <c r="O6" s="121" t="s">
        <v>386</v>
      </c>
      <c r="P6" s="122" t="s">
        <v>387</v>
      </c>
      <c r="Q6" s="21" t="s">
        <v>388</v>
      </c>
      <c r="R6" s="21" t="s">
        <v>385</v>
      </c>
      <c r="S6" s="126" t="s">
        <v>388</v>
      </c>
      <c r="T6" s="127" t="s">
        <v>14</v>
      </c>
      <c r="U6" s="128" t="s">
        <v>12</v>
      </c>
      <c r="V6" s="129"/>
    </row>
    <row r="7" spans="1:24" ht="19.5" thickBot="1" x14ac:dyDescent="0.3">
      <c r="A7" s="130" t="s">
        <v>389</v>
      </c>
      <c r="B7" s="131"/>
      <c r="C7" s="132"/>
      <c r="D7" s="133" t="s">
        <v>6</v>
      </c>
      <c r="E7" s="134" t="s">
        <v>14</v>
      </c>
      <c r="F7" s="135" t="s">
        <v>12</v>
      </c>
      <c r="G7" s="131" t="s">
        <v>390</v>
      </c>
      <c r="H7" s="136" t="s">
        <v>13</v>
      </c>
      <c r="I7" s="137" t="s">
        <v>370</v>
      </c>
      <c r="J7" s="138" t="s">
        <v>391</v>
      </c>
      <c r="K7" s="138" t="s">
        <v>392</v>
      </c>
      <c r="L7" s="138" t="s">
        <v>393</v>
      </c>
      <c r="M7" s="138" t="s">
        <v>371</v>
      </c>
      <c r="N7" s="139" t="s">
        <v>394</v>
      </c>
      <c r="O7" s="131" t="s">
        <v>395</v>
      </c>
      <c r="P7" s="136" t="s">
        <v>13</v>
      </c>
      <c r="Q7" s="140" t="s">
        <v>396</v>
      </c>
      <c r="R7" s="140" t="s">
        <v>390</v>
      </c>
      <c r="S7" s="136" t="s">
        <v>13</v>
      </c>
      <c r="T7" s="141" t="s">
        <v>390</v>
      </c>
      <c r="U7" s="142" t="s">
        <v>390</v>
      </c>
      <c r="V7" s="143" t="s">
        <v>12</v>
      </c>
    </row>
    <row r="8" spans="1:24" ht="15.75" thickTop="1" x14ac:dyDescent="0.25">
      <c r="A8" s="144"/>
      <c r="B8" s="145"/>
      <c r="C8" s="146"/>
      <c r="D8" s="147"/>
      <c r="E8" s="147"/>
      <c r="F8" s="147"/>
      <c r="G8" s="148"/>
      <c r="H8" s="149"/>
      <c r="I8" s="150"/>
      <c r="J8" s="147"/>
      <c r="K8" s="151"/>
      <c r="L8" s="147"/>
      <c r="M8" s="147"/>
      <c r="N8" s="152"/>
      <c r="O8" s="148"/>
      <c r="P8" s="153"/>
      <c r="Q8" s="154"/>
      <c r="R8" s="148"/>
      <c r="S8" s="149"/>
      <c r="T8" s="149"/>
      <c r="U8" s="150"/>
      <c r="V8" s="155"/>
    </row>
    <row r="9" spans="1:24" x14ac:dyDescent="0.25">
      <c r="A9" s="156"/>
      <c r="B9" s="157"/>
      <c r="C9" s="158" t="s">
        <v>693</v>
      </c>
      <c r="D9" s="575" t="s">
        <v>429</v>
      </c>
      <c r="E9" s="561">
        <f>'Alternate #2 '!M8</f>
        <v>379</v>
      </c>
      <c r="F9" s="151" t="s">
        <v>348</v>
      </c>
      <c r="G9" s="434">
        <v>3.2</v>
      </c>
      <c r="H9" s="435">
        <f t="shared" ref="H9" si="0">G9*E9</f>
        <v>1212.8</v>
      </c>
      <c r="I9" s="436" t="s">
        <v>539</v>
      </c>
      <c r="J9" s="263">
        <v>500</v>
      </c>
      <c r="K9" s="263">
        <f t="shared" ref="K9" si="1">E9/J9</f>
        <v>0.75800000000000001</v>
      </c>
      <c r="L9" s="263">
        <f t="shared" ref="L9" si="2">8*K9</f>
        <v>6.0640000000000001</v>
      </c>
      <c r="M9" s="442" t="s">
        <v>473</v>
      </c>
      <c r="N9" s="443">
        <v>2</v>
      </c>
      <c r="O9" s="434">
        <v>22.05</v>
      </c>
      <c r="P9" s="438">
        <f>O9*N9*L9</f>
        <v>267.42240000000004</v>
      </c>
      <c r="Q9" s="439"/>
      <c r="R9" s="434"/>
      <c r="S9" s="435"/>
      <c r="T9" s="478">
        <f t="shared" ref="T9" si="3">S9+P9+H9</f>
        <v>1480.2224000000001</v>
      </c>
      <c r="U9" s="436">
        <f t="shared" ref="U9" si="4">T9/E9</f>
        <v>3.9056000000000002</v>
      </c>
      <c r="V9" s="441" t="str">
        <f>F9</f>
        <v>sf</v>
      </c>
    </row>
    <row r="10" spans="1:24" x14ac:dyDescent="0.25">
      <c r="A10" s="156"/>
      <c r="B10" s="157"/>
      <c r="C10" s="158"/>
      <c r="D10" s="151"/>
      <c r="E10" s="151"/>
      <c r="F10" s="151"/>
      <c r="G10" s="434"/>
      <c r="H10" s="435"/>
      <c r="I10" s="436"/>
      <c r="J10" s="263"/>
      <c r="K10" s="263"/>
      <c r="L10" s="263"/>
      <c r="M10" s="442"/>
      <c r="N10" s="443"/>
      <c r="O10" s="434"/>
      <c r="P10" s="438"/>
      <c r="Q10" s="439"/>
      <c r="R10" s="434"/>
      <c r="S10" s="435"/>
      <c r="T10" s="478"/>
      <c r="U10" s="436"/>
      <c r="V10" s="441"/>
    </row>
    <row r="11" spans="1:24" x14ac:dyDescent="0.25">
      <c r="A11" s="169"/>
      <c r="B11" s="157"/>
      <c r="C11" s="158"/>
      <c r="D11" s="151"/>
      <c r="E11" s="151"/>
      <c r="F11" s="151"/>
      <c r="G11" s="434"/>
      <c r="H11" s="435"/>
      <c r="I11" s="436"/>
      <c r="J11" s="263"/>
      <c r="K11" s="263"/>
      <c r="L11" s="263"/>
      <c r="M11" s="263"/>
      <c r="N11" s="437"/>
      <c r="O11" s="434"/>
      <c r="P11" s="438"/>
      <c r="Q11" s="439"/>
      <c r="R11" s="434"/>
      <c r="S11" s="435"/>
      <c r="T11" s="478"/>
      <c r="U11" s="436"/>
      <c r="V11" s="441"/>
    </row>
    <row r="12" spans="1:24" x14ac:dyDescent="0.25">
      <c r="A12" s="156"/>
      <c r="B12" s="157"/>
      <c r="C12" s="158"/>
      <c r="D12" s="151"/>
      <c r="E12" s="151"/>
      <c r="F12" s="151"/>
      <c r="G12" s="434"/>
      <c r="H12" s="435"/>
      <c r="I12" s="436"/>
      <c r="J12" s="263"/>
      <c r="K12" s="263"/>
      <c r="L12" s="263"/>
      <c r="M12" s="263"/>
      <c r="N12" s="437"/>
      <c r="O12" s="434"/>
      <c r="P12" s="438"/>
      <c r="Q12" s="439"/>
      <c r="R12" s="434"/>
      <c r="S12" s="435"/>
      <c r="T12" s="478"/>
      <c r="U12" s="436"/>
      <c r="V12" s="441"/>
    </row>
    <row r="13" spans="1:24" x14ac:dyDescent="0.25">
      <c r="A13" s="156"/>
      <c r="B13" s="157"/>
      <c r="C13" s="158"/>
      <c r="D13" s="151"/>
      <c r="E13" s="151"/>
      <c r="F13" s="151"/>
      <c r="G13" s="434"/>
      <c r="H13" s="435"/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78"/>
      <c r="U13" s="436"/>
      <c r="V13" s="441"/>
    </row>
    <row r="14" spans="1:24" x14ac:dyDescent="0.25">
      <c r="A14" s="169"/>
      <c r="B14" s="157"/>
      <c r="C14" s="158"/>
      <c r="D14" s="151"/>
      <c r="E14" s="151"/>
      <c r="F14" s="151"/>
      <c r="G14" s="434"/>
      <c r="H14" s="435"/>
      <c r="I14" s="436"/>
      <c r="J14" s="263"/>
      <c r="K14" s="263"/>
      <c r="L14" s="263"/>
      <c r="M14" s="263"/>
      <c r="N14" s="437"/>
      <c r="O14" s="434"/>
      <c r="P14" s="438"/>
      <c r="Q14" s="439"/>
      <c r="R14" s="434"/>
      <c r="S14" s="435"/>
      <c r="T14" s="478"/>
      <c r="U14" s="436"/>
      <c r="V14" s="441"/>
    </row>
    <row r="15" spans="1:24" x14ac:dyDescent="0.25">
      <c r="A15" s="156"/>
      <c r="B15" s="157"/>
      <c r="C15" s="158"/>
      <c r="D15" s="151"/>
      <c r="E15" s="151"/>
      <c r="F15" s="151"/>
      <c r="G15" s="159"/>
      <c r="H15" s="160"/>
      <c r="I15" s="161"/>
      <c r="J15" s="151"/>
      <c r="K15" s="151"/>
      <c r="L15" s="151"/>
      <c r="M15" s="151"/>
      <c r="N15" s="162"/>
      <c r="O15" s="159"/>
      <c r="P15" s="163"/>
      <c r="Q15" s="164"/>
      <c r="R15" s="159"/>
      <c r="S15" s="160"/>
      <c r="T15" s="165"/>
      <c r="U15" s="161"/>
      <c r="V15" s="166"/>
    </row>
    <row r="16" spans="1:24" x14ac:dyDescent="0.25">
      <c r="A16" s="156"/>
      <c r="B16" s="157"/>
      <c r="C16" s="158"/>
      <c r="D16" s="151"/>
      <c r="E16" s="151"/>
      <c r="F16" s="151"/>
      <c r="G16" s="159"/>
      <c r="H16" s="160"/>
      <c r="I16" s="161"/>
      <c r="J16" s="151"/>
      <c r="K16" s="151"/>
      <c r="L16" s="151"/>
      <c r="M16" s="151"/>
      <c r="N16" s="162"/>
      <c r="O16" s="159"/>
      <c r="P16" s="163"/>
      <c r="Q16" s="164"/>
      <c r="R16" s="159"/>
      <c r="S16" s="160"/>
      <c r="T16" s="165"/>
      <c r="U16" s="161"/>
      <c r="V16" s="166"/>
    </row>
    <row r="17" spans="1:22" x14ac:dyDescent="0.25">
      <c r="A17" s="169"/>
      <c r="B17" s="157"/>
      <c r="C17" s="158"/>
      <c r="D17" s="151"/>
      <c r="E17" s="151"/>
      <c r="F17" s="151"/>
      <c r="G17" s="159"/>
      <c r="H17" s="160"/>
      <c r="I17" s="161"/>
      <c r="J17" s="151"/>
      <c r="K17" s="151"/>
      <c r="L17" s="151"/>
      <c r="M17" s="151"/>
      <c r="N17" s="162"/>
      <c r="O17" s="159"/>
      <c r="P17" s="163"/>
      <c r="Q17" s="164"/>
      <c r="R17" s="159"/>
      <c r="S17" s="160"/>
      <c r="T17" s="165"/>
      <c r="U17" s="161"/>
      <c r="V17" s="166"/>
    </row>
    <row r="18" spans="1:22" x14ac:dyDescent="0.25">
      <c r="A18" s="156"/>
      <c r="B18" s="157"/>
      <c r="C18" s="158"/>
      <c r="D18" s="151"/>
      <c r="E18" s="151"/>
      <c r="F18" s="151"/>
      <c r="G18" s="159"/>
      <c r="H18" s="160"/>
      <c r="I18" s="161"/>
      <c r="J18" s="151"/>
      <c r="K18" s="151"/>
      <c r="L18" s="151"/>
      <c r="M18" s="151"/>
      <c r="N18" s="162"/>
      <c r="O18" s="159"/>
      <c r="P18" s="163"/>
      <c r="Q18" s="164"/>
      <c r="R18" s="159"/>
      <c r="S18" s="160"/>
      <c r="T18" s="165"/>
      <c r="U18" s="161"/>
      <c r="V18" s="166"/>
    </row>
    <row r="19" spans="1:22" x14ac:dyDescent="0.25">
      <c r="A19" s="156"/>
      <c r="B19" s="157"/>
      <c r="C19" s="158"/>
      <c r="D19" s="151"/>
      <c r="E19" s="151"/>
      <c r="F19" s="151"/>
      <c r="G19" s="159"/>
      <c r="H19" s="160"/>
      <c r="I19" s="161"/>
      <c r="J19" s="151"/>
      <c r="K19" s="151"/>
      <c r="L19" s="151"/>
      <c r="M19" s="151"/>
      <c r="N19" s="162"/>
      <c r="O19" s="159"/>
      <c r="P19" s="163"/>
      <c r="Q19" s="164"/>
      <c r="R19" s="159"/>
      <c r="S19" s="160"/>
      <c r="T19" s="165"/>
      <c r="U19" s="161"/>
      <c r="V19" s="166"/>
    </row>
    <row r="20" spans="1:22" x14ac:dyDescent="0.25">
      <c r="A20" s="169"/>
      <c r="B20" s="157"/>
      <c r="C20" s="158"/>
      <c r="D20" s="151"/>
      <c r="E20" s="151"/>
      <c r="F20" s="151"/>
      <c r="G20" s="159"/>
      <c r="H20" s="160"/>
      <c r="I20" s="161"/>
      <c r="J20" s="151"/>
      <c r="K20" s="151"/>
      <c r="L20" s="151"/>
      <c r="M20" s="151"/>
      <c r="N20" s="162"/>
      <c r="O20" s="159"/>
      <c r="P20" s="163"/>
      <c r="Q20" s="164"/>
      <c r="R20" s="159"/>
      <c r="S20" s="160"/>
      <c r="T20" s="165"/>
      <c r="U20" s="161"/>
      <c r="V20" s="166"/>
    </row>
    <row r="21" spans="1:22" x14ac:dyDescent="0.25">
      <c r="A21" s="156"/>
      <c r="B21" s="157"/>
      <c r="C21" s="158"/>
      <c r="D21" s="151"/>
      <c r="E21" s="151"/>
      <c r="F21" s="151"/>
      <c r="G21" s="159"/>
      <c r="H21" s="160"/>
      <c r="I21" s="161"/>
      <c r="J21" s="151"/>
      <c r="K21" s="151"/>
      <c r="L21" s="151"/>
      <c r="M21" s="151"/>
      <c r="N21" s="162"/>
      <c r="O21" s="159"/>
      <c r="P21" s="163"/>
      <c r="Q21" s="164"/>
      <c r="R21" s="159"/>
      <c r="S21" s="160"/>
      <c r="T21" s="165"/>
      <c r="U21" s="161"/>
      <c r="V21" s="166"/>
    </row>
    <row r="22" spans="1:22" x14ac:dyDescent="0.25">
      <c r="A22" s="156"/>
      <c r="B22" s="157"/>
      <c r="C22" s="158"/>
      <c r="D22" s="151"/>
      <c r="E22" s="151"/>
      <c r="F22" s="151"/>
      <c r="G22" s="159"/>
      <c r="H22" s="160"/>
      <c r="I22" s="161"/>
      <c r="J22" s="151"/>
      <c r="K22" s="151"/>
      <c r="L22" s="151"/>
      <c r="M22" s="151"/>
      <c r="N22" s="162"/>
      <c r="O22" s="159"/>
      <c r="P22" s="163"/>
      <c r="Q22" s="164"/>
      <c r="R22" s="159"/>
      <c r="S22" s="160"/>
      <c r="T22" s="165"/>
      <c r="U22" s="161"/>
      <c r="V22" s="166"/>
    </row>
    <row r="23" spans="1:22" x14ac:dyDescent="0.25">
      <c r="A23" s="156"/>
      <c r="B23" s="157"/>
      <c r="C23" s="158"/>
      <c r="D23" s="151"/>
      <c r="E23" s="151"/>
      <c r="F23" s="151"/>
      <c r="G23" s="159"/>
      <c r="H23" s="160"/>
      <c r="I23" s="161"/>
      <c r="J23" s="151"/>
      <c r="K23" s="151"/>
      <c r="L23" s="151"/>
      <c r="M23" s="151"/>
      <c r="N23" s="162"/>
      <c r="O23" s="159"/>
      <c r="P23" s="163"/>
      <c r="Q23" s="164"/>
      <c r="R23" s="159"/>
      <c r="S23" s="160"/>
      <c r="T23" s="165"/>
      <c r="U23" s="161"/>
      <c r="V23" s="166"/>
    </row>
    <row r="24" spans="1:22" x14ac:dyDescent="0.25">
      <c r="A24" s="156"/>
      <c r="B24" s="157"/>
      <c r="C24" s="158"/>
      <c r="D24" s="151"/>
      <c r="E24" s="151"/>
      <c r="F24" s="151"/>
      <c r="G24" s="159"/>
      <c r="H24" s="160"/>
      <c r="I24" s="161"/>
      <c r="J24" s="151"/>
      <c r="K24" s="151"/>
      <c r="L24" s="151"/>
      <c r="M24" s="151"/>
      <c r="N24" s="162"/>
      <c r="O24" s="159"/>
      <c r="P24" s="163"/>
      <c r="Q24" s="164"/>
      <c r="R24" s="159"/>
      <c r="S24" s="160"/>
      <c r="T24" s="165"/>
      <c r="U24" s="161"/>
      <c r="V24" s="166"/>
    </row>
    <row r="25" spans="1:22" x14ac:dyDescent="0.25">
      <c r="A25" s="156"/>
      <c r="B25" s="157"/>
      <c r="C25" s="158"/>
      <c r="D25" s="151"/>
      <c r="E25" s="151"/>
      <c r="F25" s="151"/>
      <c r="G25" s="159"/>
      <c r="H25" s="160"/>
      <c r="I25" s="161"/>
      <c r="J25" s="151"/>
      <c r="K25" s="151"/>
      <c r="L25" s="151"/>
      <c r="M25" s="151"/>
      <c r="N25" s="162"/>
      <c r="O25" s="159"/>
      <c r="P25" s="163"/>
      <c r="Q25" s="164"/>
      <c r="R25" s="159"/>
      <c r="S25" s="160"/>
      <c r="T25" s="165"/>
      <c r="U25" s="161"/>
      <c r="V25" s="166"/>
    </row>
    <row r="26" spans="1:22" x14ac:dyDescent="0.25">
      <c r="A26" s="156"/>
      <c r="B26" s="157"/>
      <c r="C26" s="158"/>
      <c r="D26" s="151"/>
      <c r="E26" s="151"/>
      <c r="F26" s="151"/>
      <c r="G26" s="159"/>
      <c r="H26" s="160"/>
      <c r="I26" s="161"/>
      <c r="J26" s="151"/>
      <c r="K26" s="151"/>
      <c r="L26" s="151"/>
      <c r="M26" s="151"/>
      <c r="N26" s="162"/>
      <c r="O26" s="159"/>
      <c r="P26" s="163"/>
      <c r="Q26" s="164"/>
      <c r="R26" s="159"/>
      <c r="S26" s="160"/>
      <c r="T26" s="165"/>
      <c r="U26" s="161"/>
      <c r="V26" s="166"/>
    </row>
    <row r="27" spans="1:22" x14ac:dyDescent="0.25">
      <c r="A27" s="156"/>
      <c r="B27" s="157"/>
      <c r="C27" s="158"/>
      <c r="D27" s="151"/>
      <c r="E27" s="151"/>
      <c r="F27" s="151"/>
      <c r="G27" s="159"/>
      <c r="H27" s="160"/>
      <c r="I27" s="161"/>
      <c r="J27" s="151"/>
      <c r="K27" s="151"/>
      <c r="L27" s="151"/>
      <c r="M27" s="151"/>
      <c r="N27" s="162"/>
      <c r="O27" s="159"/>
      <c r="P27" s="163"/>
      <c r="Q27" s="164"/>
      <c r="R27" s="159"/>
      <c r="S27" s="160"/>
      <c r="T27" s="165"/>
      <c r="U27" s="161"/>
      <c r="V27" s="166"/>
    </row>
    <row r="28" spans="1:22" x14ac:dyDescent="0.25">
      <c r="A28" s="156"/>
      <c r="B28" s="157"/>
      <c r="C28" s="158"/>
      <c r="D28" s="151"/>
      <c r="E28" s="151"/>
      <c r="F28" s="151"/>
      <c r="G28" s="159"/>
      <c r="H28" s="160"/>
      <c r="I28" s="161"/>
      <c r="J28" s="151"/>
      <c r="K28" s="151"/>
      <c r="L28" s="151"/>
      <c r="M28" s="151"/>
      <c r="N28" s="162"/>
      <c r="O28" s="159"/>
      <c r="P28" s="163"/>
      <c r="Q28" s="164"/>
      <c r="R28" s="159"/>
      <c r="S28" s="160"/>
      <c r="T28" s="165"/>
      <c r="U28" s="161"/>
      <c r="V28" s="166"/>
    </row>
    <row r="29" spans="1:22" x14ac:dyDescent="0.25">
      <c r="A29" s="156"/>
      <c r="B29" s="157"/>
      <c r="C29" s="158"/>
      <c r="D29" s="151"/>
      <c r="E29" s="151"/>
      <c r="F29" s="151"/>
      <c r="G29" s="159"/>
      <c r="H29" s="160"/>
      <c r="I29" s="161"/>
      <c r="J29" s="151"/>
      <c r="K29" s="151"/>
      <c r="L29" s="151"/>
      <c r="M29" s="151"/>
      <c r="N29" s="162"/>
      <c r="O29" s="159"/>
      <c r="P29" s="163"/>
      <c r="Q29" s="164"/>
      <c r="R29" s="159"/>
      <c r="S29" s="160"/>
      <c r="T29" s="165"/>
      <c r="U29" s="161"/>
      <c r="V29" s="166"/>
    </row>
    <row r="30" spans="1:22" x14ac:dyDescent="0.25">
      <c r="A30" s="156"/>
      <c r="B30" s="157"/>
      <c r="C30" s="158"/>
      <c r="D30" s="151"/>
      <c r="E30" s="151"/>
      <c r="F30" s="151"/>
      <c r="G30" s="159"/>
      <c r="H30" s="160"/>
      <c r="I30" s="161"/>
      <c r="J30" s="151"/>
      <c r="K30" s="151"/>
      <c r="L30" s="151"/>
      <c r="M30" s="151"/>
      <c r="N30" s="162"/>
      <c r="O30" s="159"/>
      <c r="P30" s="163"/>
      <c r="Q30" s="164"/>
      <c r="R30" s="159"/>
      <c r="S30" s="160"/>
      <c r="T30" s="165"/>
      <c r="U30" s="161"/>
      <c r="V30" s="166"/>
    </row>
    <row r="31" spans="1:22" x14ac:dyDescent="0.25">
      <c r="A31" s="156"/>
      <c r="B31" s="157"/>
      <c r="C31" s="158"/>
      <c r="D31" s="151"/>
      <c r="E31" s="151"/>
      <c r="F31" s="151"/>
      <c r="G31" s="159"/>
      <c r="H31" s="160"/>
      <c r="I31" s="161"/>
      <c r="J31" s="151"/>
      <c r="K31" s="151"/>
      <c r="L31" s="151"/>
      <c r="M31" s="151"/>
      <c r="N31" s="162"/>
      <c r="O31" s="159"/>
      <c r="P31" s="163"/>
      <c r="Q31" s="164"/>
      <c r="R31" s="159"/>
      <c r="S31" s="160"/>
      <c r="T31" s="165"/>
      <c r="U31" s="161"/>
      <c r="V31" s="166"/>
    </row>
    <row r="32" spans="1:22" x14ac:dyDescent="0.25">
      <c r="A32" s="156"/>
      <c r="B32" s="157"/>
      <c r="C32" s="158"/>
      <c r="D32" s="151"/>
      <c r="E32" s="151"/>
      <c r="F32" s="151"/>
      <c r="G32" s="159"/>
      <c r="H32" s="160"/>
      <c r="I32" s="161"/>
      <c r="J32" s="151"/>
      <c r="K32" s="151"/>
      <c r="L32" s="151"/>
      <c r="M32" s="151"/>
      <c r="N32" s="162"/>
      <c r="O32" s="159"/>
      <c r="P32" s="163"/>
      <c r="Q32" s="164"/>
      <c r="R32" s="159"/>
      <c r="S32" s="160"/>
      <c r="T32" s="165"/>
      <c r="U32" s="161"/>
      <c r="V32" s="166"/>
    </row>
    <row r="33" spans="1:22" x14ac:dyDescent="0.25">
      <c r="A33" s="156"/>
      <c r="B33" s="157"/>
      <c r="C33" s="158"/>
      <c r="D33" s="151"/>
      <c r="E33" s="151"/>
      <c r="F33" s="151"/>
      <c r="G33" s="159"/>
      <c r="H33" s="160"/>
      <c r="I33" s="161"/>
      <c r="J33" s="151"/>
      <c r="K33" s="151"/>
      <c r="L33" s="151"/>
      <c r="M33" s="151"/>
      <c r="N33" s="162"/>
      <c r="O33" s="159"/>
      <c r="P33" s="163"/>
      <c r="Q33" s="164"/>
      <c r="R33" s="159"/>
      <c r="S33" s="160"/>
      <c r="T33" s="165"/>
      <c r="U33" s="161"/>
      <c r="V33" s="166"/>
    </row>
    <row r="34" spans="1:22" x14ac:dyDescent="0.25">
      <c r="A34" s="156"/>
      <c r="B34" s="157"/>
      <c r="C34" s="158"/>
      <c r="D34" s="151"/>
      <c r="E34" s="151"/>
      <c r="F34" s="151"/>
      <c r="G34" s="159"/>
      <c r="H34" s="160"/>
      <c r="I34" s="161"/>
      <c r="J34" s="151"/>
      <c r="K34" s="151"/>
      <c r="L34" s="151"/>
      <c r="M34" s="151"/>
      <c r="N34" s="162"/>
      <c r="O34" s="159"/>
      <c r="P34" s="163"/>
      <c r="Q34" s="164"/>
      <c r="R34" s="159"/>
      <c r="S34" s="160"/>
      <c r="T34" s="165"/>
      <c r="U34" s="161"/>
      <c r="V34" s="166"/>
    </row>
    <row r="35" spans="1:22" x14ac:dyDescent="0.25">
      <c r="A35" s="156"/>
      <c r="B35" s="157"/>
      <c r="C35" s="158"/>
      <c r="D35" s="151"/>
      <c r="E35" s="151"/>
      <c r="F35" s="151"/>
      <c r="G35" s="159"/>
      <c r="H35" s="160"/>
      <c r="I35" s="161"/>
      <c r="J35" s="151"/>
      <c r="K35" s="151"/>
      <c r="L35" s="151"/>
      <c r="M35" s="151"/>
      <c r="N35" s="162"/>
      <c r="O35" s="159"/>
      <c r="P35" s="163"/>
      <c r="Q35" s="164"/>
      <c r="R35" s="159"/>
      <c r="S35" s="160"/>
      <c r="T35" s="165"/>
      <c r="U35" s="161"/>
      <c r="V35" s="166"/>
    </row>
    <row r="36" spans="1:22" x14ac:dyDescent="0.25">
      <c r="A36" s="156"/>
      <c r="B36" s="157"/>
      <c r="C36" s="158"/>
      <c r="D36" s="151"/>
      <c r="E36" s="151"/>
      <c r="F36" s="151"/>
      <c r="G36" s="159"/>
      <c r="H36" s="160"/>
      <c r="I36" s="161"/>
      <c r="J36" s="151"/>
      <c r="K36" s="151"/>
      <c r="L36" s="151"/>
      <c r="M36" s="151"/>
      <c r="N36" s="162"/>
      <c r="O36" s="159"/>
      <c r="P36" s="163"/>
      <c r="Q36" s="164"/>
      <c r="R36" s="159"/>
      <c r="S36" s="160"/>
      <c r="T36" s="165"/>
      <c r="U36" s="161"/>
      <c r="V36" s="166"/>
    </row>
    <row r="37" spans="1:22" x14ac:dyDescent="0.25">
      <c r="A37" s="156"/>
      <c r="B37" s="157"/>
      <c r="C37" s="158"/>
      <c r="D37" s="151"/>
      <c r="E37" s="151"/>
      <c r="F37" s="151"/>
      <c r="G37" s="159"/>
      <c r="H37" s="160"/>
      <c r="I37" s="161"/>
      <c r="J37" s="151"/>
      <c r="K37" s="151"/>
      <c r="L37" s="151"/>
      <c r="M37" s="151"/>
      <c r="N37" s="162"/>
      <c r="O37" s="159"/>
      <c r="P37" s="163"/>
      <c r="Q37" s="164"/>
      <c r="R37" s="159"/>
      <c r="S37" s="160"/>
      <c r="T37" s="165"/>
      <c r="U37" s="161"/>
      <c r="V37" s="166"/>
    </row>
    <row r="38" spans="1:22" x14ac:dyDescent="0.25">
      <c r="A38" s="156"/>
      <c r="B38" s="157"/>
      <c r="C38" s="158"/>
      <c r="D38" s="151"/>
      <c r="E38" s="151"/>
      <c r="F38" s="151"/>
      <c r="G38" s="159"/>
      <c r="H38" s="160"/>
      <c r="I38" s="161"/>
      <c r="J38" s="151"/>
      <c r="K38" s="151"/>
      <c r="L38" s="151"/>
      <c r="M38" s="151"/>
      <c r="N38" s="162"/>
      <c r="O38" s="159"/>
      <c r="P38" s="163"/>
      <c r="Q38" s="164"/>
      <c r="R38" s="159"/>
      <c r="S38" s="160"/>
      <c r="T38" s="165"/>
      <c r="U38" s="161"/>
      <c r="V38" s="166"/>
    </row>
    <row r="39" spans="1:22" x14ac:dyDescent="0.25">
      <c r="A39" s="156"/>
      <c r="B39" s="157"/>
      <c r="C39" s="158"/>
      <c r="D39" s="151"/>
      <c r="E39" s="151"/>
      <c r="F39" s="151"/>
      <c r="G39" s="159"/>
      <c r="H39" s="160"/>
      <c r="I39" s="161"/>
      <c r="J39" s="151"/>
      <c r="K39" s="151"/>
      <c r="L39" s="151"/>
      <c r="M39" s="151"/>
      <c r="N39" s="162"/>
      <c r="O39" s="159"/>
      <c r="P39" s="163"/>
      <c r="Q39" s="164"/>
      <c r="R39" s="159"/>
      <c r="S39" s="160"/>
      <c r="T39" s="165"/>
      <c r="U39" s="161"/>
      <c r="V39" s="166"/>
    </row>
    <row r="40" spans="1:22" x14ac:dyDescent="0.25">
      <c r="A40" s="156"/>
      <c r="B40" s="157"/>
      <c r="C40" s="158"/>
      <c r="D40" s="151"/>
      <c r="E40" s="151"/>
      <c r="F40" s="151"/>
      <c r="G40" s="159"/>
      <c r="H40" s="160"/>
      <c r="I40" s="161"/>
      <c r="J40" s="151"/>
      <c r="K40" s="151"/>
      <c r="L40" s="151"/>
      <c r="M40" s="151"/>
      <c r="N40" s="162"/>
      <c r="O40" s="159"/>
      <c r="P40" s="163"/>
      <c r="Q40" s="164"/>
      <c r="R40" s="159"/>
      <c r="S40" s="160"/>
      <c r="T40" s="165"/>
      <c r="U40" s="161"/>
      <c r="V40" s="166"/>
    </row>
    <row r="41" spans="1:22" ht="15.75" thickBot="1" x14ac:dyDescent="0.3">
      <c r="A41" s="170"/>
      <c r="B41" s="171"/>
      <c r="C41" s="172"/>
      <c r="D41" s="173"/>
      <c r="E41" s="173"/>
      <c r="F41" s="173"/>
      <c r="G41" s="174"/>
      <c r="H41" s="175"/>
      <c r="I41" s="176"/>
      <c r="J41" s="173"/>
      <c r="K41" s="167"/>
      <c r="L41" s="167"/>
      <c r="M41" s="173"/>
      <c r="N41" s="177"/>
      <c r="O41" s="174"/>
      <c r="P41" s="178"/>
      <c r="Q41" s="179"/>
      <c r="R41" s="174"/>
      <c r="S41" s="180"/>
      <c r="T41" s="181"/>
      <c r="U41" s="182"/>
      <c r="V41" s="166"/>
    </row>
    <row r="42" spans="1:22" ht="15.75" thickBot="1" x14ac:dyDescent="0.3">
      <c r="A42" s="183"/>
      <c r="B42" s="184"/>
      <c r="C42" s="184"/>
      <c r="D42" s="185"/>
      <c r="E42" s="185"/>
      <c r="F42" s="185"/>
      <c r="G42" s="185"/>
      <c r="H42" s="186">
        <f>SUM(H8:H41)</f>
        <v>1212.8</v>
      </c>
      <c r="I42" s="187"/>
      <c r="J42" s="188"/>
      <c r="K42" s="186">
        <f>SUM(K8:K41)</f>
        <v>0.75800000000000001</v>
      </c>
      <c r="L42" s="186">
        <f>SUM(L8:L41)</f>
        <v>6.0640000000000001</v>
      </c>
      <c r="M42" s="187"/>
      <c r="N42" s="189"/>
      <c r="O42" s="188"/>
      <c r="P42" s="186">
        <f>SUM(P8:P41)</f>
        <v>267.42240000000004</v>
      </c>
      <c r="Q42" s="187"/>
      <c r="R42" s="188"/>
      <c r="S42" s="190">
        <f>SUM(S8:S41)</f>
        <v>0</v>
      </c>
      <c r="T42" s="186">
        <f>SUM(T8:T41)</f>
        <v>1480.2224000000001</v>
      </c>
      <c r="U42" s="191" t="s">
        <v>397</v>
      </c>
      <c r="V42" s="192"/>
    </row>
    <row r="43" spans="1:22" x14ac:dyDescent="0.25">
      <c r="N43" s="74"/>
      <c r="R43" s="194" t="s">
        <v>690</v>
      </c>
      <c r="T43" s="562">
        <v>0.3</v>
      </c>
    </row>
    <row r="44" spans="1:22" x14ac:dyDescent="0.25">
      <c r="N44" s="74"/>
      <c r="T44" s="194">
        <f>T42*1.3</f>
        <v>1924.2891200000001</v>
      </c>
    </row>
    <row r="45" spans="1:22" x14ac:dyDescent="0.25">
      <c r="N45" s="74"/>
    </row>
    <row r="46" spans="1:22" x14ac:dyDescent="0.25">
      <c r="N46" s="74"/>
    </row>
    <row r="47" spans="1:22" x14ac:dyDescent="0.25">
      <c r="N47" s="74"/>
    </row>
    <row r="48" spans="1:22" x14ac:dyDescent="0.25">
      <c r="N48" s="74"/>
    </row>
    <row r="49" spans="14:14" x14ac:dyDescent="0.25">
      <c r="N49" s="74"/>
    </row>
    <row r="50" spans="14:14" x14ac:dyDescent="0.25">
      <c r="N50" s="74"/>
    </row>
    <row r="51" spans="14:14" x14ac:dyDescent="0.25">
      <c r="N51" s="74"/>
    </row>
    <row r="52" spans="14:14" x14ac:dyDescent="0.25">
      <c r="N52" s="74"/>
    </row>
    <row r="53" spans="14:14" x14ac:dyDescent="0.25">
      <c r="N53" s="74"/>
    </row>
    <row r="54" spans="14:14" x14ac:dyDescent="0.25">
      <c r="N54" s="74"/>
    </row>
    <row r="55" spans="14:14" x14ac:dyDescent="0.25">
      <c r="N55" s="74"/>
    </row>
    <row r="56" spans="14:14" x14ac:dyDescent="0.25">
      <c r="N56" s="74"/>
    </row>
    <row r="57" spans="14:14" x14ac:dyDescent="0.25">
      <c r="N57" s="74"/>
    </row>
    <row r="58" spans="14:14" x14ac:dyDescent="0.25">
      <c r="N58" s="74"/>
    </row>
    <row r="59" spans="14:14" x14ac:dyDescent="0.25">
      <c r="N59" s="74"/>
    </row>
    <row r="60" spans="14:14" x14ac:dyDescent="0.25">
      <c r="N60" s="74"/>
    </row>
    <row r="61" spans="14:14" x14ac:dyDescent="0.25">
      <c r="N61" s="74"/>
    </row>
    <row r="62" spans="14:14" x14ac:dyDescent="0.25">
      <c r="N62" s="74"/>
    </row>
    <row r="63" spans="14:14" x14ac:dyDescent="0.25">
      <c r="N63" s="74"/>
    </row>
    <row r="64" spans="14:14" x14ac:dyDescent="0.25">
      <c r="N64" s="74"/>
    </row>
    <row r="65" spans="14:14" x14ac:dyDescent="0.25">
      <c r="N65" s="74"/>
    </row>
    <row r="66" spans="14:14" x14ac:dyDescent="0.25">
      <c r="N66" s="74"/>
    </row>
    <row r="67" spans="14:14" x14ac:dyDescent="0.25">
      <c r="N67" s="74"/>
    </row>
    <row r="68" spans="14:14" x14ac:dyDescent="0.25">
      <c r="N68" s="74"/>
    </row>
    <row r="69" spans="14:14" x14ac:dyDescent="0.25">
      <c r="N69" s="74"/>
    </row>
    <row r="70" spans="14:14" x14ac:dyDescent="0.25">
      <c r="N70" s="74"/>
    </row>
    <row r="71" spans="14:14" x14ac:dyDescent="0.25">
      <c r="N71" s="74"/>
    </row>
    <row r="72" spans="14:14" x14ac:dyDescent="0.25">
      <c r="N72" s="74"/>
    </row>
    <row r="73" spans="14:14" x14ac:dyDescent="0.25">
      <c r="N73" s="74"/>
    </row>
    <row r="74" spans="14:14" x14ac:dyDescent="0.25">
      <c r="N74" s="74"/>
    </row>
    <row r="75" spans="14:14" x14ac:dyDescent="0.25">
      <c r="N75" s="74"/>
    </row>
    <row r="76" spans="14:14" x14ac:dyDescent="0.25">
      <c r="N76" s="74"/>
    </row>
    <row r="77" spans="14:14" x14ac:dyDescent="0.25">
      <c r="N77" s="74"/>
    </row>
    <row r="78" spans="14:14" x14ac:dyDescent="0.25">
      <c r="N78" s="74"/>
    </row>
    <row r="79" spans="14:14" x14ac:dyDescent="0.25">
      <c r="N79" s="74"/>
    </row>
    <row r="80" spans="14:14" x14ac:dyDescent="0.25">
      <c r="N80" s="74"/>
    </row>
    <row r="81" spans="14:14" x14ac:dyDescent="0.25">
      <c r="N81" s="74"/>
    </row>
    <row r="82" spans="14:14" x14ac:dyDescent="0.25">
      <c r="N82" s="74"/>
    </row>
    <row r="83" spans="14:14" x14ac:dyDescent="0.25">
      <c r="N83" s="74"/>
    </row>
    <row r="84" spans="14:14" x14ac:dyDescent="0.25">
      <c r="N84" s="74"/>
    </row>
    <row r="85" spans="14:14" x14ac:dyDescent="0.25">
      <c r="N85" s="74"/>
    </row>
    <row r="86" spans="14:14" x14ac:dyDescent="0.25">
      <c r="N86" s="74"/>
    </row>
    <row r="87" spans="14:14" x14ac:dyDescent="0.25">
      <c r="N87" s="74"/>
    </row>
    <row r="88" spans="14:14" x14ac:dyDescent="0.25">
      <c r="N88" s="74"/>
    </row>
    <row r="89" spans="14:14" x14ac:dyDescent="0.25">
      <c r="N89" s="74"/>
    </row>
    <row r="90" spans="14:14" x14ac:dyDescent="0.25">
      <c r="N90" s="74"/>
    </row>
    <row r="91" spans="14:14" x14ac:dyDescent="0.25">
      <c r="N91" s="74"/>
    </row>
    <row r="92" spans="14:14" x14ac:dyDescent="0.25">
      <c r="N92" s="74"/>
    </row>
    <row r="93" spans="14:14" x14ac:dyDescent="0.25">
      <c r="N93" s="74"/>
    </row>
    <row r="94" spans="14:14" x14ac:dyDescent="0.25">
      <c r="N94" s="74"/>
    </row>
    <row r="95" spans="14:14" x14ac:dyDescent="0.25">
      <c r="N95" s="74"/>
    </row>
    <row r="96" spans="14:14" x14ac:dyDescent="0.25">
      <c r="N96" s="74"/>
    </row>
    <row r="97" spans="14:14" x14ac:dyDescent="0.25">
      <c r="N97" s="74"/>
    </row>
    <row r="98" spans="14:14" x14ac:dyDescent="0.25">
      <c r="N98" s="74"/>
    </row>
    <row r="99" spans="14:14" x14ac:dyDescent="0.25">
      <c r="N99" s="74"/>
    </row>
    <row r="100" spans="14:14" x14ac:dyDescent="0.25">
      <c r="N100" s="74"/>
    </row>
    <row r="101" spans="14:14" x14ac:dyDescent="0.25">
      <c r="N101" s="74"/>
    </row>
    <row r="102" spans="14:14" x14ac:dyDescent="0.25">
      <c r="N102" s="74"/>
    </row>
    <row r="103" spans="14:14" x14ac:dyDescent="0.25">
      <c r="N103" s="74"/>
    </row>
    <row r="104" spans="14:14" x14ac:dyDescent="0.25">
      <c r="N104" s="74"/>
    </row>
    <row r="105" spans="14:14" x14ac:dyDescent="0.25">
      <c r="N105" s="74"/>
    </row>
    <row r="106" spans="14:14" x14ac:dyDescent="0.25">
      <c r="N106" s="74"/>
    </row>
    <row r="107" spans="14:14" x14ac:dyDescent="0.25">
      <c r="N107" s="74"/>
    </row>
    <row r="108" spans="14:14" x14ac:dyDescent="0.25">
      <c r="N108" s="74"/>
    </row>
    <row r="109" spans="14:14" x14ac:dyDescent="0.25">
      <c r="N109" s="74"/>
    </row>
    <row r="110" spans="14:14" x14ac:dyDescent="0.25">
      <c r="N110" s="74"/>
    </row>
    <row r="111" spans="14:14" x14ac:dyDescent="0.25">
      <c r="N111" s="74"/>
    </row>
    <row r="112" spans="14:14" x14ac:dyDescent="0.25">
      <c r="N112" s="74"/>
    </row>
    <row r="113" spans="14:14" x14ac:dyDescent="0.25">
      <c r="N113" s="74"/>
    </row>
    <row r="114" spans="14:14" x14ac:dyDescent="0.25">
      <c r="N114" s="74"/>
    </row>
    <row r="115" spans="14:14" x14ac:dyDescent="0.25">
      <c r="N115" s="74"/>
    </row>
    <row r="116" spans="14:14" x14ac:dyDescent="0.25">
      <c r="N116" s="74"/>
    </row>
    <row r="117" spans="14:14" x14ac:dyDescent="0.25">
      <c r="N117" s="74"/>
    </row>
    <row r="118" spans="14:14" x14ac:dyDescent="0.25">
      <c r="N118" s="74"/>
    </row>
    <row r="119" spans="14:14" x14ac:dyDescent="0.25">
      <c r="N119" s="74"/>
    </row>
    <row r="120" spans="14:14" x14ac:dyDescent="0.25">
      <c r="N120" s="74"/>
    </row>
    <row r="121" spans="14:14" x14ac:dyDescent="0.25">
      <c r="N121" s="74"/>
    </row>
    <row r="122" spans="14:14" x14ac:dyDescent="0.25">
      <c r="N122" s="74"/>
    </row>
    <row r="123" spans="14:14" x14ac:dyDescent="0.25">
      <c r="N123" s="74"/>
    </row>
    <row r="124" spans="14:14" x14ac:dyDescent="0.25">
      <c r="N124" s="74"/>
    </row>
    <row r="125" spans="14:14" x14ac:dyDescent="0.25">
      <c r="N125" s="74"/>
    </row>
    <row r="126" spans="14:14" x14ac:dyDescent="0.25">
      <c r="N126" s="74"/>
    </row>
    <row r="127" spans="14:14" x14ac:dyDescent="0.25">
      <c r="N127" s="74"/>
    </row>
    <row r="128" spans="14:14" x14ac:dyDescent="0.25">
      <c r="N128" s="74"/>
    </row>
    <row r="129" spans="14:14" x14ac:dyDescent="0.25">
      <c r="N129" s="74"/>
    </row>
    <row r="130" spans="14:14" x14ac:dyDescent="0.25">
      <c r="N130" s="74"/>
    </row>
    <row r="131" spans="14:14" x14ac:dyDescent="0.25">
      <c r="N131" s="74"/>
    </row>
    <row r="132" spans="14:14" x14ac:dyDescent="0.25">
      <c r="N132" s="74"/>
    </row>
    <row r="133" spans="14:14" x14ac:dyDescent="0.25">
      <c r="N133" s="74"/>
    </row>
    <row r="134" spans="14:14" x14ac:dyDescent="0.25">
      <c r="N134" s="74"/>
    </row>
    <row r="135" spans="14:14" x14ac:dyDescent="0.25">
      <c r="N135" s="74"/>
    </row>
    <row r="136" spans="14:14" x14ac:dyDescent="0.25">
      <c r="N136" s="74"/>
    </row>
    <row r="137" spans="14:14" x14ac:dyDescent="0.25">
      <c r="N137" s="74"/>
    </row>
    <row r="138" spans="14:14" x14ac:dyDescent="0.25">
      <c r="N138" s="74"/>
    </row>
    <row r="139" spans="14:14" x14ac:dyDescent="0.25">
      <c r="N139" s="74"/>
    </row>
    <row r="140" spans="14:14" x14ac:dyDescent="0.25">
      <c r="N140" s="74"/>
    </row>
    <row r="141" spans="14:14" x14ac:dyDescent="0.25">
      <c r="N141" s="74"/>
    </row>
    <row r="142" spans="14:14" x14ac:dyDescent="0.25">
      <c r="N142" s="74"/>
    </row>
    <row r="143" spans="14:14" x14ac:dyDescent="0.25">
      <c r="N143" s="74"/>
    </row>
    <row r="144" spans="14:14" x14ac:dyDescent="0.25">
      <c r="N144" s="74"/>
    </row>
    <row r="145" spans="14:14" x14ac:dyDescent="0.25">
      <c r="N145" s="74"/>
    </row>
    <row r="146" spans="14:14" x14ac:dyDescent="0.25">
      <c r="N146" s="74"/>
    </row>
    <row r="147" spans="14:14" x14ac:dyDescent="0.25">
      <c r="N147" s="74"/>
    </row>
    <row r="148" spans="14:14" x14ac:dyDescent="0.25">
      <c r="N148" s="74"/>
    </row>
    <row r="149" spans="14:14" x14ac:dyDescent="0.25">
      <c r="N149" s="74"/>
    </row>
    <row r="150" spans="14:14" x14ac:dyDescent="0.25">
      <c r="N150" s="74"/>
    </row>
    <row r="151" spans="14:14" x14ac:dyDescent="0.25">
      <c r="N151" s="74"/>
    </row>
    <row r="152" spans="14:14" x14ac:dyDescent="0.25">
      <c r="N152" s="74"/>
    </row>
    <row r="153" spans="14:14" x14ac:dyDescent="0.25">
      <c r="N153" s="74"/>
    </row>
    <row r="154" spans="14:14" x14ac:dyDescent="0.25">
      <c r="N154" s="74"/>
    </row>
    <row r="155" spans="14:14" x14ac:dyDescent="0.25">
      <c r="N155" s="74"/>
    </row>
    <row r="156" spans="14:14" x14ac:dyDescent="0.25">
      <c r="N156" s="74"/>
    </row>
    <row r="157" spans="14:14" x14ac:dyDescent="0.25">
      <c r="N157" s="74"/>
    </row>
    <row r="158" spans="14:14" x14ac:dyDescent="0.25">
      <c r="N158" s="74"/>
    </row>
    <row r="159" spans="14:14" x14ac:dyDescent="0.25">
      <c r="N159" s="74"/>
    </row>
    <row r="160" spans="14:14" x14ac:dyDescent="0.25">
      <c r="N160" s="74"/>
    </row>
    <row r="161" spans="14:14" x14ac:dyDescent="0.25">
      <c r="N161" s="74"/>
    </row>
    <row r="162" spans="14:14" x14ac:dyDescent="0.25">
      <c r="N162" s="74"/>
    </row>
    <row r="163" spans="14:14" x14ac:dyDescent="0.25">
      <c r="N163" s="74"/>
    </row>
    <row r="164" spans="14:14" x14ac:dyDescent="0.25">
      <c r="N164" s="74"/>
    </row>
    <row r="165" spans="14:14" x14ac:dyDescent="0.25">
      <c r="N165" s="74"/>
    </row>
    <row r="166" spans="14:14" x14ac:dyDescent="0.25">
      <c r="N166" s="74"/>
    </row>
    <row r="167" spans="14:14" x14ac:dyDescent="0.25">
      <c r="N167" s="74"/>
    </row>
    <row r="168" spans="14:14" x14ac:dyDescent="0.25">
      <c r="N168" s="74"/>
    </row>
    <row r="169" spans="14:14" x14ac:dyDescent="0.25">
      <c r="N169" s="74"/>
    </row>
    <row r="170" spans="14:14" x14ac:dyDescent="0.25">
      <c r="N170" s="74"/>
    </row>
    <row r="171" spans="14:14" x14ac:dyDescent="0.25">
      <c r="N171" s="74"/>
    </row>
    <row r="172" spans="14:14" x14ac:dyDescent="0.25">
      <c r="N172" s="74"/>
    </row>
    <row r="173" spans="14:14" x14ac:dyDescent="0.25">
      <c r="N173" s="74"/>
    </row>
    <row r="174" spans="14:14" x14ac:dyDescent="0.25">
      <c r="N174" s="74"/>
    </row>
    <row r="175" spans="14:14" x14ac:dyDescent="0.25">
      <c r="N175" s="74"/>
    </row>
    <row r="176" spans="14:14" x14ac:dyDescent="0.25">
      <c r="N176" s="74"/>
    </row>
    <row r="177" spans="14:14" x14ac:dyDescent="0.25">
      <c r="N177" s="74"/>
    </row>
    <row r="178" spans="14:14" x14ac:dyDescent="0.25">
      <c r="N178" s="74"/>
    </row>
    <row r="179" spans="14:14" x14ac:dyDescent="0.25">
      <c r="N179" s="74"/>
    </row>
    <row r="180" spans="14:14" x14ac:dyDescent="0.25">
      <c r="N180" s="74"/>
    </row>
    <row r="181" spans="14:14" x14ac:dyDescent="0.25">
      <c r="N181" s="74"/>
    </row>
    <row r="182" spans="14:14" x14ac:dyDescent="0.25">
      <c r="N182" s="74"/>
    </row>
    <row r="183" spans="14:14" x14ac:dyDescent="0.25">
      <c r="N183" s="74"/>
    </row>
    <row r="184" spans="14:14" x14ac:dyDescent="0.25">
      <c r="N184" s="74"/>
    </row>
    <row r="185" spans="14:14" x14ac:dyDescent="0.25">
      <c r="N185" s="74"/>
    </row>
    <row r="186" spans="14:14" x14ac:dyDescent="0.25">
      <c r="N186" s="74"/>
    </row>
    <row r="187" spans="14:14" x14ac:dyDescent="0.25">
      <c r="N187" s="74"/>
    </row>
    <row r="188" spans="14:14" x14ac:dyDescent="0.25">
      <c r="N188" s="74"/>
    </row>
    <row r="189" spans="14:14" x14ac:dyDescent="0.25">
      <c r="N189" s="74"/>
    </row>
    <row r="190" spans="14:14" x14ac:dyDescent="0.25">
      <c r="N190" s="74"/>
    </row>
    <row r="191" spans="14:14" x14ac:dyDescent="0.25">
      <c r="N191" s="74"/>
    </row>
    <row r="192" spans="14:14" x14ac:dyDescent="0.25">
      <c r="N192" s="74"/>
    </row>
    <row r="193" spans="14:14" x14ac:dyDescent="0.25">
      <c r="N193" s="74"/>
    </row>
    <row r="194" spans="14:14" x14ac:dyDescent="0.25">
      <c r="N194" s="74"/>
    </row>
    <row r="195" spans="14:14" x14ac:dyDescent="0.25">
      <c r="N195" s="74"/>
    </row>
    <row r="196" spans="14:14" x14ac:dyDescent="0.25">
      <c r="N196" s="74"/>
    </row>
    <row r="197" spans="14:14" x14ac:dyDescent="0.25">
      <c r="N197" s="74"/>
    </row>
    <row r="198" spans="14:14" x14ac:dyDescent="0.25">
      <c r="N198" s="74"/>
    </row>
    <row r="199" spans="14:14" x14ac:dyDescent="0.25">
      <c r="N199" s="74"/>
    </row>
    <row r="200" spans="14:14" x14ac:dyDescent="0.25">
      <c r="N200" s="74"/>
    </row>
    <row r="201" spans="14:14" x14ac:dyDescent="0.25">
      <c r="N201" s="74"/>
    </row>
    <row r="202" spans="14:14" x14ac:dyDescent="0.25">
      <c r="N202" s="74"/>
    </row>
    <row r="203" spans="14:14" x14ac:dyDescent="0.25">
      <c r="N203" s="74"/>
    </row>
    <row r="204" spans="14:14" x14ac:dyDescent="0.25">
      <c r="N204" s="74"/>
    </row>
    <row r="205" spans="14:14" x14ac:dyDescent="0.25">
      <c r="N205" s="74"/>
    </row>
    <row r="206" spans="14:14" x14ac:dyDescent="0.25">
      <c r="N206" s="74"/>
    </row>
    <row r="207" spans="14:14" x14ac:dyDescent="0.25">
      <c r="N207" s="74"/>
    </row>
    <row r="208" spans="14:14" x14ac:dyDescent="0.25">
      <c r="N208" s="74"/>
    </row>
    <row r="209" spans="14:14" x14ac:dyDescent="0.25">
      <c r="N209" s="74"/>
    </row>
    <row r="210" spans="14:14" x14ac:dyDescent="0.25">
      <c r="N210" s="74"/>
    </row>
    <row r="211" spans="14:14" x14ac:dyDescent="0.25">
      <c r="N211" s="74"/>
    </row>
    <row r="212" spans="14:14" x14ac:dyDescent="0.25">
      <c r="N212" s="74"/>
    </row>
    <row r="213" spans="14:14" x14ac:dyDescent="0.25">
      <c r="N213" s="74"/>
    </row>
    <row r="214" spans="14:14" x14ac:dyDescent="0.25">
      <c r="N214" s="74"/>
    </row>
    <row r="215" spans="14:14" x14ac:dyDescent="0.25">
      <c r="N215" s="74"/>
    </row>
    <row r="216" spans="14:14" x14ac:dyDescent="0.25">
      <c r="N216" s="74"/>
    </row>
    <row r="217" spans="14:14" x14ac:dyDescent="0.25">
      <c r="N217" s="74"/>
    </row>
    <row r="218" spans="14:14" x14ac:dyDescent="0.25">
      <c r="N218" s="74"/>
    </row>
    <row r="219" spans="14:14" x14ac:dyDescent="0.25">
      <c r="N219" s="74"/>
    </row>
    <row r="220" spans="14:14" x14ac:dyDescent="0.25">
      <c r="N220" s="74"/>
    </row>
    <row r="221" spans="14:14" x14ac:dyDescent="0.25">
      <c r="N221" s="74"/>
    </row>
    <row r="222" spans="14:14" x14ac:dyDescent="0.25">
      <c r="N222" s="74"/>
    </row>
    <row r="223" spans="14:14" x14ac:dyDescent="0.25">
      <c r="N223" s="74"/>
    </row>
    <row r="224" spans="14:14" x14ac:dyDescent="0.25">
      <c r="N224" s="74"/>
    </row>
    <row r="225" spans="14:14" x14ac:dyDescent="0.25">
      <c r="N225" s="74"/>
    </row>
    <row r="226" spans="14:14" x14ac:dyDescent="0.25">
      <c r="N226" s="74"/>
    </row>
    <row r="227" spans="14:14" x14ac:dyDescent="0.25">
      <c r="N227" s="74"/>
    </row>
    <row r="228" spans="14:14" x14ac:dyDescent="0.25">
      <c r="N228" s="74"/>
    </row>
    <row r="229" spans="14:14" x14ac:dyDescent="0.25">
      <c r="N229" s="74"/>
    </row>
    <row r="230" spans="14:14" x14ac:dyDescent="0.25">
      <c r="N230" s="74"/>
    </row>
    <row r="231" spans="14:14" x14ac:dyDescent="0.25">
      <c r="N231" s="74"/>
    </row>
    <row r="232" spans="14:14" x14ac:dyDescent="0.25">
      <c r="N232" s="74"/>
    </row>
    <row r="233" spans="14:14" x14ac:dyDescent="0.25">
      <c r="N233" s="74"/>
    </row>
    <row r="234" spans="14:14" x14ac:dyDescent="0.25">
      <c r="N234" s="74"/>
    </row>
    <row r="235" spans="14:14" x14ac:dyDescent="0.25">
      <c r="N235" s="74"/>
    </row>
    <row r="236" spans="14:14" x14ac:dyDescent="0.25">
      <c r="N236" s="74"/>
    </row>
    <row r="237" spans="14:14" x14ac:dyDescent="0.25">
      <c r="N237" s="74"/>
    </row>
    <row r="238" spans="14:14" x14ac:dyDescent="0.25">
      <c r="N238" s="74"/>
    </row>
    <row r="239" spans="14:14" x14ac:dyDescent="0.25">
      <c r="N239" s="74"/>
    </row>
    <row r="240" spans="14:14" x14ac:dyDescent="0.25">
      <c r="N240" s="74"/>
    </row>
    <row r="241" spans="14:14" x14ac:dyDescent="0.25">
      <c r="N241" s="74"/>
    </row>
    <row r="242" spans="14:14" x14ac:dyDescent="0.25">
      <c r="N242" s="74"/>
    </row>
    <row r="243" spans="14:14" x14ac:dyDescent="0.25">
      <c r="N243" s="74"/>
    </row>
    <row r="244" spans="14:14" x14ac:dyDescent="0.25">
      <c r="N244" s="74"/>
    </row>
    <row r="245" spans="14:14" x14ac:dyDescent="0.25">
      <c r="N245" s="74"/>
    </row>
    <row r="246" spans="14:14" x14ac:dyDescent="0.25">
      <c r="N246" s="74"/>
    </row>
    <row r="247" spans="14:14" x14ac:dyDescent="0.25">
      <c r="N247" s="74"/>
    </row>
    <row r="248" spans="14:14" x14ac:dyDescent="0.25">
      <c r="N248" s="74"/>
    </row>
    <row r="249" spans="14:14" x14ac:dyDescent="0.25">
      <c r="N249" s="74"/>
    </row>
    <row r="250" spans="14:14" x14ac:dyDescent="0.25">
      <c r="N250" s="74"/>
    </row>
    <row r="251" spans="14:14" x14ac:dyDescent="0.25">
      <c r="N251" s="74"/>
    </row>
    <row r="252" spans="14:14" x14ac:dyDescent="0.25">
      <c r="N252" s="74"/>
    </row>
    <row r="253" spans="14:14" x14ac:dyDescent="0.25">
      <c r="N253" s="74"/>
    </row>
    <row r="254" spans="14:14" x14ac:dyDescent="0.25">
      <c r="N254" s="74"/>
    </row>
    <row r="255" spans="14:14" x14ac:dyDescent="0.25">
      <c r="N255" s="74"/>
    </row>
    <row r="256" spans="14:14" x14ac:dyDescent="0.25">
      <c r="N256" s="74"/>
    </row>
    <row r="257" spans="14:14" x14ac:dyDescent="0.25">
      <c r="N257" s="74"/>
    </row>
    <row r="258" spans="14:14" x14ac:dyDescent="0.25">
      <c r="N258" s="74"/>
    </row>
    <row r="259" spans="14:14" x14ac:dyDescent="0.25">
      <c r="N259" s="74"/>
    </row>
    <row r="260" spans="14:14" x14ac:dyDescent="0.25">
      <c r="N260" s="74"/>
    </row>
    <row r="261" spans="14:14" x14ac:dyDescent="0.25">
      <c r="N261" s="74"/>
    </row>
    <row r="262" spans="14:14" x14ac:dyDescent="0.25">
      <c r="N262" s="74"/>
    </row>
    <row r="263" spans="14:14" x14ac:dyDescent="0.25">
      <c r="N263" s="74"/>
    </row>
    <row r="264" spans="14:14" x14ac:dyDescent="0.25">
      <c r="N264" s="74"/>
    </row>
    <row r="265" spans="14:14" x14ac:dyDescent="0.25">
      <c r="N265" s="74"/>
    </row>
    <row r="266" spans="14:14" x14ac:dyDescent="0.25">
      <c r="N266" s="74"/>
    </row>
    <row r="267" spans="14:14" x14ac:dyDescent="0.25">
      <c r="N267" s="74"/>
    </row>
    <row r="268" spans="14:14" x14ac:dyDescent="0.25">
      <c r="N268" s="74"/>
    </row>
    <row r="269" spans="14:14" x14ac:dyDescent="0.25">
      <c r="N269" s="74"/>
    </row>
    <row r="270" spans="14:14" x14ac:dyDescent="0.25">
      <c r="N270" s="74"/>
    </row>
    <row r="271" spans="14:14" x14ac:dyDescent="0.25">
      <c r="N271" s="74"/>
    </row>
    <row r="272" spans="14:14" x14ac:dyDescent="0.25">
      <c r="N272" s="74"/>
    </row>
    <row r="273" spans="14:14" x14ac:dyDescent="0.25">
      <c r="N273" s="74"/>
    </row>
    <row r="274" spans="14:14" x14ac:dyDescent="0.25">
      <c r="N274" s="74"/>
    </row>
    <row r="275" spans="14:14" x14ac:dyDescent="0.25">
      <c r="N275" s="74"/>
    </row>
    <row r="276" spans="14:14" x14ac:dyDescent="0.25">
      <c r="N276" s="74"/>
    </row>
    <row r="277" spans="14:14" x14ac:dyDescent="0.25">
      <c r="N277" s="74"/>
    </row>
    <row r="278" spans="14:14" x14ac:dyDescent="0.25">
      <c r="N278" s="74"/>
    </row>
    <row r="279" spans="14:14" x14ac:dyDescent="0.25">
      <c r="N279" s="74"/>
    </row>
    <row r="280" spans="14:14" x14ac:dyDescent="0.25">
      <c r="N280" s="74"/>
    </row>
    <row r="281" spans="14:14" x14ac:dyDescent="0.25">
      <c r="N281" s="74"/>
    </row>
    <row r="282" spans="14:14" x14ac:dyDescent="0.25">
      <c r="N282" s="74"/>
    </row>
    <row r="283" spans="14:14" x14ac:dyDescent="0.25">
      <c r="N283" s="74"/>
    </row>
    <row r="284" spans="14:14" x14ac:dyDescent="0.25">
      <c r="N284" s="74"/>
    </row>
    <row r="285" spans="14:14" x14ac:dyDescent="0.25">
      <c r="N285" s="74"/>
    </row>
    <row r="286" spans="14:14" x14ac:dyDescent="0.25">
      <c r="N286" s="74"/>
    </row>
    <row r="287" spans="14:14" x14ac:dyDescent="0.25">
      <c r="N287" s="74"/>
    </row>
    <row r="288" spans="14:14" x14ac:dyDescent="0.25">
      <c r="N288" s="74"/>
    </row>
    <row r="289" spans="14:14" x14ac:dyDescent="0.25">
      <c r="N289" s="74"/>
    </row>
    <row r="290" spans="14:14" x14ac:dyDescent="0.25">
      <c r="N290" s="74"/>
    </row>
    <row r="291" spans="14:14" x14ac:dyDescent="0.25">
      <c r="N291" s="74"/>
    </row>
    <row r="292" spans="14:14" x14ac:dyDescent="0.25">
      <c r="N292" s="74"/>
    </row>
    <row r="293" spans="14:14" x14ac:dyDescent="0.25">
      <c r="N293" s="74"/>
    </row>
    <row r="294" spans="14:14" x14ac:dyDescent="0.25">
      <c r="N294" s="74"/>
    </row>
    <row r="295" spans="14:14" x14ac:dyDescent="0.25">
      <c r="N295" s="74"/>
    </row>
    <row r="296" spans="14:14" x14ac:dyDescent="0.25">
      <c r="N296" s="74"/>
    </row>
    <row r="297" spans="14:14" x14ac:dyDescent="0.25">
      <c r="N297" s="74"/>
    </row>
    <row r="298" spans="14:14" x14ac:dyDescent="0.25">
      <c r="N298" s="74"/>
    </row>
    <row r="299" spans="14:14" x14ac:dyDescent="0.25">
      <c r="N299" s="74"/>
    </row>
    <row r="300" spans="14:14" x14ac:dyDescent="0.25">
      <c r="N300" s="74"/>
    </row>
    <row r="301" spans="14:14" x14ac:dyDescent="0.25">
      <c r="N301" s="74"/>
    </row>
    <row r="302" spans="14:14" x14ac:dyDescent="0.25">
      <c r="N302" s="74"/>
    </row>
    <row r="303" spans="14:14" x14ac:dyDescent="0.25">
      <c r="N303" s="74"/>
    </row>
    <row r="304" spans="14:14" x14ac:dyDescent="0.25">
      <c r="N304" s="74"/>
    </row>
    <row r="305" spans="14:14" x14ac:dyDescent="0.25">
      <c r="N305" s="74"/>
    </row>
    <row r="306" spans="14:14" x14ac:dyDescent="0.25">
      <c r="N306" s="74"/>
    </row>
    <row r="307" spans="14:14" x14ac:dyDescent="0.25">
      <c r="N307" s="74"/>
    </row>
    <row r="308" spans="14:14" x14ac:dyDescent="0.25">
      <c r="N308" s="74"/>
    </row>
    <row r="309" spans="14:14" x14ac:dyDescent="0.25">
      <c r="N309" s="74"/>
    </row>
    <row r="310" spans="14:14" x14ac:dyDescent="0.25">
      <c r="N310" s="74"/>
    </row>
    <row r="311" spans="14:14" x14ac:dyDescent="0.25">
      <c r="N311" s="74"/>
    </row>
    <row r="312" spans="14:14" x14ac:dyDescent="0.25">
      <c r="N312" s="74"/>
    </row>
    <row r="313" spans="14:14" x14ac:dyDescent="0.25">
      <c r="N313" s="74"/>
    </row>
    <row r="314" spans="14:14" x14ac:dyDescent="0.25">
      <c r="N314" s="74"/>
    </row>
    <row r="315" spans="14:14" x14ac:dyDescent="0.25">
      <c r="N315" s="74"/>
    </row>
    <row r="316" spans="14:14" x14ac:dyDescent="0.25">
      <c r="N316" s="74"/>
    </row>
    <row r="317" spans="14:14" x14ac:dyDescent="0.25">
      <c r="N317" s="74"/>
    </row>
    <row r="318" spans="14:14" x14ac:dyDescent="0.25">
      <c r="N318" s="74"/>
    </row>
    <row r="319" spans="14:14" x14ac:dyDescent="0.25">
      <c r="N319" s="74"/>
    </row>
    <row r="320" spans="14:14" x14ac:dyDescent="0.25">
      <c r="N320" s="74"/>
    </row>
    <row r="321" spans="14:14" x14ac:dyDescent="0.25">
      <c r="N321" s="74"/>
    </row>
    <row r="322" spans="14:14" x14ac:dyDescent="0.25">
      <c r="N322" s="74"/>
    </row>
    <row r="323" spans="14:14" x14ac:dyDescent="0.25">
      <c r="N323" s="74"/>
    </row>
    <row r="324" spans="14:14" x14ac:dyDescent="0.25">
      <c r="N324" s="74"/>
    </row>
    <row r="325" spans="14:14" x14ac:dyDescent="0.25">
      <c r="N325" s="74"/>
    </row>
    <row r="326" spans="14:14" x14ac:dyDescent="0.25">
      <c r="N326" s="74"/>
    </row>
    <row r="327" spans="14:14" x14ac:dyDescent="0.25">
      <c r="N327" s="74"/>
    </row>
    <row r="328" spans="14:14" x14ac:dyDescent="0.25">
      <c r="N328" s="74"/>
    </row>
    <row r="329" spans="14:14" x14ac:dyDescent="0.25">
      <c r="N329" s="74"/>
    </row>
    <row r="330" spans="14:14" x14ac:dyDescent="0.25">
      <c r="N330" s="74"/>
    </row>
    <row r="331" spans="14:14" x14ac:dyDescent="0.25">
      <c r="N331" s="74"/>
    </row>
    <row r="332" spans="14:14" x14ac:dyDescent="0.25">
      <c r="N332" s="74"/>
    </row>
    <row r="333" spans="14:14" x14ac:dyDescent="0.25">
      <c r="N333" s="74"/>
    </row>
    <row r="334" spans="14:14" x14ac:dyDescent="0.25">
      <c r="N334" s="74"/>
    </row>
    <row r="335" spans="14:14" x14ac:dyDescent="0.25">
      <c r="N335" s="74"/>
    </row>
    <row r="336" spans="14:14" x14ac:dyDescent="0.25">
      <c r="N336" s="74"/>
    </row>
    <row r="337" spans="14:14" x14ac:dyDescent="0.25">
      <c r="N337" s="74"/>
    </row>
    <row r="338" spans="14:14" x14ac:dyDescent="0.25">
      <c r="N338" s="74"/>
    </row>
    <row r="339" spans="14:14" x14ac:dyDescent="0.25">
      <c r="N339" s="74"/>
    </row>
    <row r="340" spans="14:14" x14ac:dyDescent="0.25">
      <c r="N340" s="74"/>
    </row>
    <row r="341" spans="14:14" x14ac:dyDescent="0.25">
      <c r="N341" s="74"/>
    </row>
    <row r="342" spans="14:14" x14ac:dyDescent="0.25">
      <c r="N342" s="74"/>
    </row>
    <row r="343" spans="14:14" x14ac:dyDescent="0.25">
      <c r="N343" s="74"/>
    </row>
    <row r="344" spans="14:14" x14ac:dyDescent="0.25">
      <c r="N344" s="74"/>
    </row>
    <row r="345" spans="14:14" x14ac:dyDescent="0.25">
      <c r="N345" s="74"/>
    </row>
    <row r="346" spans="14:14" x14ac:dyDescent="0.25">
      <c r="N346" s="74"/>
    </row>
    <row r="347" spans="14:14" x14ac:dyDescent="0.25">
      <c r="N347" s="74"/>
    </row>
    <row r="348" spans="14:14" x14ac:dyDescent="0.25">
      <c r="N348" s="74"/>
    </row>
    <row r="349" spans="14:14" x14ac:dyDescent="0.25">
      <c r="N349" s="74"/>
    </row>
    <row r="350" spans="14:14" x14ac:dyDescent="0.25">
      <c r="N350" s="74"/>
    </row>
    <row r="351" spans="14:14" x14ac:dyDescent="0.25">
      <c r="N351" s="74"/>
    </row>
    <row r="352" spans="14:14" x14ac:dyDescent="0.25">
      <c r="N352" s="74"/>
    </row>
    <row r="353" spans="14:14" x14ac:dyDescent="0.25">
      <c r="N353" s="74"/>
    </row>
    <row r="354" spans="14:14" x14ac:dyDescent="0.25">
      <c r="N354" s="74"/>
    </row>
    <row r="355" spans="14:14" x14ac:dyDescent="0.25">
      <c r="N355" s="74"/>
    </row>
    <row r="356" spans="14:14" x14ac:dyDescent="0.25">
      <c r="N356" s="74"/>
    </row>
    <row r="357" spans="14:14" x14ac:dyDescent="0.25">
      <c r="N357" s="74"/>
    </row>
    <row r="358" spans="14:14" x14ac:dyDescent="0.25">
      <c r="N358" s="74"/>
    </row>
    <row r="359" spans="14:14" x14ac:dyDescent="0.25">
      <c r="N359" s="74"/>
    </row>
    <row r="360" spans="14:14" x14ac:dyDescent="0.25">
      <c r="N360" s="74"/>
    </row>
    <row r="361" spans="14:14" x14ac:dyDescent="0.25">
      <c r="N361" s="74"/>
    </row>
    <row r="362" spans="14:14" x14ac:dyDescent="0.25">
      <c r="N362" s="74"/>
    </row>
    <row r="363" spans="14:14" x14ac:dyDescent="0.25">
      <c r="N363" s="74"/>
    </row>
    <row r="364" spans="14:14" x14ac:dyDescent="0.25">
      <c r="N364" s="74"/>
    </row>
    <row r="365" spans="14:14" x14ac:dyDescent="0.25">
      <c r="N365" s="74"/>
    </row>
    <row r="366" spans="14:14" x14ac:dyDescent="0.25">
      <c r="N366" s="74"/>
    </row>
    <row r="367" spans="14:14" x14ac:dyDescent="0.25">
      <c r="N367" s="74"/>
    </row>
    <row r="368" spans="14:14" x14ac:dyDescent="0.25">
      <c r="N368" s="74"/>
    </row>
    <row r="369" spans="14:14" x14ac:dyDescent="0.25">
      <c r="N369" s="74"/>
    </row>
    <row r="370" spans="14:14" x14ac:dyDescent="0.25">
      <c r="N370" s="74"/>
    </row>
    <row r="371" spans="14:14" x14ac:dyDescent="0.25">
      <c r="N371" s="74"/>
    </row>
    <row r="372" spans="14:14" x14ac:dyDescent="0.25">
      <c r="N372" s="74"/>
    </row>
    <row r="373" spans="14:14" x14ac:dyDescent="0.25">
      <c r="N373" s="74"/>
    </row>
    <row r="374" spans="14:14" x14ac:dyDescent="0.25">
      <c r="N374" s="74"/>
    </row>
    <row r="375" spans="14:14" x14ac:dyDescent="0.25">
      <c r="N375" s="74"/>
    </row>
    <row r="376" spans="14:14" x14ac:dyDescent="0.25">
      <c r="N376" s="74"/>
    </row>
    <row r="377" spans="14:14" x14ac:dyDescent="0.25">
      <c r="N377" s="74"/>
    </row>
    <row r="378" spans="14:14" x14ac:dyDescent="0.25">
      <c r="N378" s="74"/>
    </row>
    <row r="379" spans="14:14" x14ac:dyDescent="0.25">
      <c r="N379" s="74"/>
    </row>
    <row r="380" spans="14:14" x14ac:dyDescent="0.25">
      <c r="N380" s="74"/>
    </row>
    <row r="381" spans="14:14" x14ac:dyDescent="0.25">
      <c r="N381" s="74"/>
    </row>
    <row r="382" spans="14:14" x14ac:dyDescent="0.25">
      <c r="N382" s="74"/>
    </row>
    <row r="383" spans="14:14" x14ac:dyDescent="0.25">
      <c r="N383" s="74"/>
    </row>
    <row r="384" spans="14:14" x14ac:dyDescent="0.25">
      <c r="N384" s="74"/>
    </row>
    <row r="385" spans="14:14" x14ac:dyDescent="0.25">
      <c r="N385" s="74"/>
    </row>
    <row r="386" spans="14:14" x14ac:dyDescent="0.25">
      <c r="N386" s="74"/>
    </row>
    <row r="387" spans="14:14" x14ac:dyDescent="0.25">
      <c r="N387" s="74"/>
    </row>
    <row r="388" spans="14:14" x14ac:dyDescent="0.25">
      <c r="N388" s="74"/>
    </row>
    <row r="389" spans="14:14" x14ac:dyDescent="0.25">
      <c r="N389" s="74"/>
    </row>
    <row r="390" spans="14:14" x14ac:dyDescent="0.25">
      <c r="N390" s="74"/>
    </row>
    <row r="391" spans="14:14" x14ac:dyDescent="0.25">
      <c r="N391" s="74"/>
    </row>
    <row r="392" spans="14:14" x14ac:dyDescent="0.25">
      <c r="N392" s="74"/>
    </row>
    <row r="393" spans="14:14" x14ac:dyDescent="0.25">
      <c r="N393" s="74"/>
    </row>
    <row r="394" spans="14:14" x14ac:dyDescent="0.25">
      <c r="N394" s="74"/>
    </row>
    <row r="395" spans="14:14" x14ac:dyDescent="0.25">
      <c r="N395" s="74"/>
    </row>
    <row r="396" spans="14:14" x14ac:dyDescent="0.25">
      <c r="N396" s="74"/>
    </row>
    <row r="397" spans="14:14" x14ac:dyDescent="0.25">
      <c r="N397" s="74"/>
    </row>
    <row r="398" spans="14:14" x14ac:dyDescent="0.25">
      <c r="N398" s="74"/>
    </row>
    <row r="399" spans="14:14" x14ac:dyDescent="0.25">
      <c r="N399" s="74"/>
    </row>
    <row r="400" spans="14:14" x14ac:dyDescent="0.25">
      <c r="N400" s="74"/>
    </row>
    <row r="401" spans="14:14" x14ac:dyDescent="0.25">
      <c r="N401" s="74"/>
    </row>
    <row r="402" spans="14:14" x14ac:dyDescent="0.25">
      <c r="N402" s="74"/>
    </row>
    <row r="403" spans="14:14" x14ac:dyDescent="0.25">
      <c r="N403" s="74"/>
    </row>
    <row r="404" spans="14:14" x14ac:dyDescent="0.25">
      <c r="N404" s="74"/>
    </row>
    <row r="405" spans="14:14" x14ac:dyDescent="0.25">
      <c r="N405" s="74"/>
    </row>
    <row r="406" spans="14:14" x14ac:dyDescent="0.25">
      <c r="N406" s="74"/>
    </row>
    <row r="407" spans="14:14" x14ac:dyDescent="0.25">
      <c r="N407" s="74"/>
    </row>
    <row r="408" spans="14:14" x14ac:dyDescent="0.25">
      <c r="N408" s="74"/>
    </row>
    <row r="409" spans="14:14" x14ac:dyDescent="0.25">
      <c r="N409" s="74"/>
    </row>
    <row r="410" spans="14:14" x14ac:dyDescent="0.25">
      <c r="N410" s="74"/>
    </row>
    <row r="411" spans="14:14" x14ac:dyDescent="0.25">
      <c r="N411" s="74"/>
    </row>
    <row r="412" spans="14:14" x14ac:dyDescent="0.25">
      <c r="N412" s="74"/>
    </row>
    <row r="413" spans="14:14" x14ac:dyDescent="0.25">
      <c r="N413" s="74"/>
    </row>
    <row r="414" spans="14:14" x14ac:dyDescent="0.25">
      <c r="N414" s="74"/>
    </row>
    <row r="415" spans="14:14" x14ac:dyDescent="0.25">
      <c r="N415" s="74"/>
    </row>
    <row r="416" spans="14:14" x14ac:dyDescent="0.25">
      <c r="N416" s="74"/>
    </row>
    <row r="417" spans="14:14" x14ac:dyDescent="0.25">
      <c r="N417" s="74"/>
    </row>
    <row r="418" spans="14:14" x14ac:dyDescent="0.25">
      <c r="N418" s="74"/>
    </row>
    <row r="419" spans="14:14" x14ac:dyDescent="0.25">
      <c r="N419" s="74"/>
    </row>
    <row r="420" spans="14:14" x14ac:dyDescent="0.25">
      <c r="N420" s="74"/>
    </row>
    <row r="421" spans="14:14" x14ac:dyDescent="0.25">
      <c r="N421" s="74"/>
    </row>
    <row r="422" spans="14:14" x14ac:dyDescent="0.25">
      <c r="N422" s="74"/>
    </row>
    <row r="423" spans="14:14" x14ac:dyDescent="0.25">
      <c r="N423" s="74"/>
    </row>
    <row r="424" spans="14:14" x14ac:dyDescent="0.25">
      <c r="N424" s="74"/>
    </row>
    <row r="425" spans="14:14" x14ac:dyDescent="0.25">
      <c r="N425" s="74"/>
    </row>
    <row r="426" spans="14:14" x14ac:dyDescent="0.25">
      <c r="N426" s="74"/>
    </row>
    <row r="427" spans="14:14" x14ac:dyDescent="0.25">
      <c r="N427" s="74"/>
    </row>
    <row r="428" spans="14:14" x14ac:dyDescent="0.25">
      <c r="N428" s="74"/>
    </row>
    <row r="429" spans="14:14" x14ac:dyDescent="0.25">
      <c r="N429" s="74"/>
    </row>
    <row r="430" spans="14:14" x14ac:dyDescent="0.25">
      <c r="N430" s="74"/>
    </row>
    <row r="431" spans="14:14" x14ac:dyDescent="0.25">
      <c r="N431" s="74"/>
    </row>
    <row r="432" spans="14:14" x14ac:dyDescent="0.25">
      <c r="N432" s="74"/>
    </row>
    <row r="433" spans="14:14" x14ac:dyDescent="0.25">
      <c r="N433" s="74"/>
    </row>
    <row r="434" spans="14:14" x14ac:dyDescent="0.25">
      <c r="N434" s="74"/>
    </row>
    <row r="435" spans="14:14" x14ac:dyDescent="0.25">
      <c r="N435" s="74"/>
    </row>
    <row r="436" spans="14:14" x14ac:dyDescent="0.25">
      <c r="N436" s="74"/>
    </row>
    <row r="437" spans="14:14" x14ac:dyDescent="0.25">
      <c r="N437" s="74"/>
    </row>
    <row r="438" spans="14:14" x14ac:dyDescent="0.25">
      <c r="N438" s="74"/>
    </row>
    <row r="439" spans="14:14" x14ac:dyDescent="0.25">
      <c r="N439" s="74"/>
    </row>
    <row r="440" spans="14:14" x14ac:dyDescent="0.25">
      <c r="N440" s="74"/>
    </row>
    <row r="441" spans="14:14" x14ac:dyDescent="0.25">
      <c r="N441" s="74"/>
    </row>
    <row r="442" spans="14:14" x14ac:dyDescent="0.25">
      <c r="N442" s="74"/>
    </row>
    <row r="443" spans="14:14" x14ac:dyDescent="0.25">
      <c r="N443" s="74"/>
    </row>
    <row r="444" spans="14:14" x14ac:dyDescent="0.25">
      <c r="N444" s="74"/>
    </row>
    <row r="445" spans="14:14" x14ac:dyDescent="0.25">
      <c r="N445" s="74"/>
    </row>
    <row r="446" spans="14:14" x14ac:dyDescent="0.25">
      <c r="N446" s="74"/>
    </row>
    <row r="447" spans="14:14" x14ac:dyDescent="0.25">
      <c r="N447" s="74"/>
    </row>
    <row r="448" spans="14:14" x14ac:dyDescent="0.25">
      <c r="N448" s="74"/>
    </row>
    <row r="449" spans="14:14" x14ac:dyDescent="0.25">
      <c r="N449" s="74"/>
    </row>
    <row r="450" spans="14:14" x14ac:dyDescent="0.25">
      <c r="N450" s="74"/>
    </row>
    <row r="451" spans="14:14" x14ac:dyDescent="0.25">
      <c r="N451" s="74"/>
    </row>
    <row r="452" spans="14:14" x14ac:dyDescent="0.25">
      <c r="N452" s="74"/>
    </row>
    <row r="453" spans="14:14" x14ac:dyDescent="0.25">
      <c r="N453" s="74"/>
    </row>
    <row r="454" spans="14:14" x14ac:dyDescent="0.25">
      <c r="N454" s="74"/>
    </row>
    <row r="455" spans="14:14" x14ac:dyDescent="0.25">
      <c r="N455" s="74"/>
    </row>
    <row r="456" spans="14:14" x14ac:dyDescent="0.25">
      <c r="N456" s="74"/>
    </row>
    <row r="457" spans="14:14" x14ac:dyDescent="0.25">
      <c r="N457" s="74"/>
    </row>
    <row r="458" spans="14:14" x14ac:dyDescent="0.25">
      <c r="N458" s="74"/>
    </row>
    <row r="459" spans="14:14" x14ac:dyDescent="0.25">
      <c r="N459" s="74"/>
    </row>
    <row r="460" spans="14:14" x14ac:dyDescent="0.25">
      <c r="N460" s="74"/>
    </row>
    <row r="461" spans="14:14" x14ac:dyDescent="0.25">
      <c r="N461" s="74"/>
    </row>
    <row r="462" spans="14:14" x14ac:dyDescent="0.25">
      <c r="N462" s="74"/>
    </row>
    <row r="463" spans="14:14" x14ac:dyDescent="0.25">
      <c r="N463" s="74"/>
    </row>
    <row r="464" spans="14:14" x14ac:dyDescent="0.25">
      <c r="N464" s="74"/>
    </row>
    <row r="465" spans="14:14" x14ac:dyDescent="0.25">
      <c r="N465" s="74"/>
    </row>
    <row r="466" spans="14:14" x14ac:dyDescent="0.25">
      <c r="N466" s="74"/>
    </row>
    <row r="467" spans="14:14" x14ac:dyDescent="0.25">
      <c r="N467" s="74"/>
    </row>
    <row r="468" spans="14:14" x14ac:dyDescent="0.25">
      <c r="N468" s="74"/>
    </row>
    <row r="469" spans="14:14" x14ac:dyDescent="0.25">
      <c r="N469" s="74"/>
    </row>
    <row r="470" spans="14:14" x14ac:dyDescent="0.25">
      <c r="N470" s="74"/>
    </row>
    <row r="471" spans="14:14" x14ac:dyDescent="0.25">
      <c r="N471" s="74"/>
    </row>
    <row r="472" spans="14:14" x14ac:dyDescent="0.25">
      <c r="N472" s="74"/>
    </row>
    <row r="473" spans="14:14" x14ac:dyDescent="0.25">
      <c r="N473" s="74"/>
    </row>
    <row r="474" spans="14:14" x14ac:dyDescent="0.25">
      <c r="N474" s="74"/>
    </row>
    <row r="475" spans="14:14" x14ac:dyDescent="0.25">
      <c r="N475" s="74"/>
    </row>
    <row r="476" spans="14:14" x14ac:dyDescent="0.25">
      <c r="N476" s="74"/>
    </row>
    <row r="477" spans="14:14" x14ac:dyDescent="0.25">
      <c r="N477" s="74"/>
    </row>
    <row r="478" spans="14:14" x14ac:dyDescent="0.25">
      <c r="N478" s="74"/>
    </row>
    <row r="479" spans="14:14" x14ac:dyDescent="0.25">
      <c r="N479" s="74"/>
    </row>
    <row r="480" spans="14:14" x14ac:dyDescent="0.25">
      <c r="N480" s="74"/>
    </row>
    <row r="481" spans="14:14" x14ac:dyDescent="0.25">
      <c r="N481" s="74"/>
    </row>
    <row r="482" spans="14:14" x14ac:dyDescent="0.25">
      <c r="N482" s="74"/>
    </row>
    <row r="483" spans="14:14" x14ac:dyDescent="0.25">
      <c r="N483" s="74"/>
    </row>
    <row r="484" spans="14:14" x14ac:dyDescent="0.25">
      <c r="N484" s="74"/>
    </row>
    <row r="485" spans="14:14" x14ac:dyDescent="0.25">
      <c r="N485" s="74"/>
    </row>
    <row r="486" spans="14:14" x14ac:dyDescent="0.25">
      <c r="N486" s="74"/>
    </row>
    <row r="487" spans="14:14" x14ac:dyDescent="0.25">
      <c r="N487" s="74"/>
    </row>
    <row r="488" spans="14:14" x14ac:dyDescent="0.25">
      <c r="N488" s="74"/>
    </row>
    <row r="489" spans="14:14" x14ac:dyDescent="0.25">
      <c r="N489" s="74"/>
    </row>
    <row r="490" spans="14:14" x14ac:dyDescent="0.25">
      <c r="N490" s="74"/>
    </row>
    <row r="491" spans="14:14" x14ac:dyDescent="0.25">
      <c r="N491" s="74"/>
    </row>
    <row r="492" spans="14:14" x14ac:dyDescent="0.25">
      <c r="N492" s="74"/>
    </row>
    <row r="493" spans="14:14" x14ac:dyDescent="0.25">
      <c r="N493" s="74"/>
    </row>
    <row r="494" spans="14:14" x14ac:dyDescent="0.25">
      <c r="N494" s="74"/>
    </row>
    <row r="495" spans="14:14" x14ac:dyDescent="0.25">
      <c r="N495" s="74"/>
    </row>
    <row r="496" spans="14:14" x14ac:dyDescent="0.25">
      <c r="N496" s="74"/>
    </row>
    <row r="497" spans="14:14" x14ac:dyDescent="0.25">
      <c r="N497" s="74"/>
    </row>
    <row r="498" spans="14:14" x14ac:dyDescent="0.25">
      <c r="N498" s="74"/>
    </row>
    <row r="499" spans="14:14" x14ac:dyDescent="0.25">
      <c r="N499" s="74"/>
    </row>
    <row r="500" spans="14:14" x14ac:dyDescent="0.25">
      <c r="N500" s="74"/>
    </row>
    <row r="501" spans="14:14" x14ac:dyDescent="0.25">
      <c r="N501" s="74"/>
    </row>
    <row r="502" spans="14:14" x14ac:dyDescent="0.25">
      <c r="N502" s="74"/>
    </row>
    <row r="503" spans="14:14" x14ac:dyDescent="0.25">
      <c r="N503" s="74"/>
    </row>
    <row r="504" spans="14:14" x14ac:dyDescent="0.25">
      <c r="N504" s="74"/>
    </row>
    <row r="505" spans="14:14" x14ac:dyDescent="0.25">
      <c r="N505" s="74"/>
    </row>
    <row r="506" spans="14:14" x14ac:dyDescent="0.25">
      <c r="N506" s="74"/>
    </row>
    <row r="507" spans="14:14" x14ac:dyDescent="0.25">
      <c r="N507" s="74"/>
    </row>
    <row r="508" spans="14:14" x14ac:dyDescent="0.25">
      <c r="N508" s="74"/>
    </row>
    <row r="509" spans="14:14" x14ac:dyDescent="0.25">
      <c r="N509" s="74"/>
    </row>
    <row r="510" spans="14:14" x14ac:dyDescent="0.25">
      <c r="N510" s="74"/>
    </row>
    <row r="511" spans="14:14" x14ac:dyDescent="0.25">
      <c r="N511" s="74"/>
    </row>
    <row r="512" spans="14:14" x14ac:dyDescent="0.25">
      <c r="N512" s="74"/>
    </row>
    <row r="513" spans="14:14" x14ac:dyDescent="0.25">
      <c r="N513" s="74"/>
    </row>
    <row r="514" spans="14:14" x14ac:dyDescent="0.25">
      <c r="N514" s="74"/>
    </row>
    <row r="515" spans="14:14" x14ac:dyDescent="0.25">
      <c r="N515" s="74"/>
    </row>
    <row r="516" spans="14:14" x14ac:dyDescent="0.25">
      <c r="N516" s="74"/>
    </row>
    <row r="517" spans="14:14" x14ac:dyDescent="0.25">
      <c r="N517" s="74"/>
    </row>
    <row r="518" spans="14:14" x14ac:dyDescent="0.25">
      <c r="N518" s="74"/>
    </row>
    <row r="519" spans="14:14" x14ac:dyDescent="0.25">
      <c r="N519" s="74"/>
    </row>
    <row r="520" spans="14:14" x14ac:dyDescent="0.25">
      <c r="N520" s="74"/>
    </row>
    <row r="521" spans="14:14" x14ac:dyDescent="0.25">
      <c r="N521" s="74"/>
    </row>
    <row r="522" spans="14:14" x14ac:dyDescent="0.25">
      <c r="N522" s="74"/>
    </row>
    <row r="523" spans="14:14" x14ac:dyDescent="0.25">
      <c r="N523" s="74"/>
    </row>
    <row r="524" spans="14:14" x14ac:dyDescent="0.25">
      <c r="N524" s="74"/>
    </row>
    <row r="525" spans="14:14" x14ac:dyDescent="0.25">
      <c r="N525" s="74"/>
    </row>
    <row r="526" spans="14:14" x14ac:dyDescent="0.25">
      <c r="N526" s="74"/>
    </row>
    <row r="527" spans="14:14" x14ac:dyDescent="0.25">
      <c r="N527" s="74"/>
    </row>
    <row r="528" spans="14:14" x14ac:dyDescent="0.25">
      <c r="N528" s="74"/>
    </row>
    <row r="529" spans="14:14" x14ac:dyDescent="0.25">
      <c r="N529" s="74"/>
    </row>
    <row r="530" spans="14:14" x14ac:dyDescent="0.25">
      <c r="N530" s="74"/>
    </row>
    <row r="531" spans="14:14" x14ac:dyDescent="0.25">
      <c r="N531" s="74"/>
    </row>
    <row r="532" spans="14:14" x14ac:dyDescent="0.25">
      <c r="N532" s="74"/>
    </row>
    <row r="533" spans="14:14" x14ac:dyDescent="0.25">
      <c r="N533" s="74"/>
    </row>
    <row r="534" spans="14:14" x14ac:dyDescent="0.25">
      <c r="N534" s="74"/>
    </row>
    <row r="535" spans="14:14" x14ac:dyDescent="0.25">
      <c r="N535" s="74"/>
    </row>
    <row r="536" spans="14:14" x14ac:dyDescent="0.25">
      <c r="N536" s="74"/>
    </row>
    <row r="537" spans="14:14" x14ac:dyDescent="0.25">
      <c r="N537" s="74"/>
    </row>
    <row r="538" spans="14:14" x14ac:dyDescent="0.25">
      <c r="N538" s="74"/>
    </row>
    <row r="539" spans="14:14" x14ac:dyDescent="0.25">
      <c r="N539" s="74"/>
    </row>
    <row r="540" spans="14:14" x14ac:dyDescent="0.25">
      <c r="N540" s="74"/>
    </row>
    <row r="541" spans="14:14" x14ac:dyDescent="0.25">
      <c r="N541" s="74"/>
    </row>
    <row r="542" spans="14:14" x14ac:dyDescent="0.25">
      <c r="N542" s="74"/>
    </row>
    <row r="543" spans="14:14" x14ac:dyDescent="0.25">
      <c r="N543" s="74"/>
    </row>
    <row r="544" spans="14:14" x14ac:dyDescent="0.25">
      <c r="N544" s="74"/>
    </row>
    <row r="545" spans="14:14" x14ac:dyDescent="0.25">
      <c r="N545" s="74"/>
    </row>
    <row r="546" spans="14:14" x14ac:dyDescent="0.25">
      <c r="N546" s="74"/>
    </row>
    <row r="547" spans="14:14" x14ac:dyDescent="0.25">
      <c r="N547" s="74"/>
    </row>
    <row r="548" spans="14:14" x14ac:dyDescent="0.25">
      <c r="N548" s="74"/>
    </row>
    <row r="549" spans="14:14" x14ac:dyDescent="0.25">
      <c r="N549" s="74"/>
    </row>
    <row r="550" spans="14:14" x14ac:dyDescent="0.25">
      <c r="N550" s="74"/>
    </row>
    <row r="551" spans="14:14" x14ac:dyDescent="0.25">
      <c r="N551" s="74"/>
    </row>
    <row r="552" spans="14:14" x14ac:dyDescent="0.25">
      <c r="N552" s="74"/>
    </row>
    <row r="553" spans="14:14" x14ac:dyDescent="0.25">
      <c r="N553" s="74"/>
    </row>
    <row r="554" spans="14:14" x14ac:dyDescent="0.25">
      <c r="N554" s="74"/>
    </row>
    <row r="555" spans="14:14" x14ac:dyDescent="0.25">
      <c r="N555" s="74"/>
    </row>
    <row r="556" spans="14:14" x14ac:dyDescent="0.25">
      <c r="N556" s="74"/>
    </row>
    <row r="557" spans="14:14" x14ac:dyDescent="0.25">
      <c r="N557" s="74"/>
    </row>
    <row r="558" spans="14:14" x14ac:dyDescent="0.25">
      <c r="N558" s="74"/>
    </row>
    <row r="559" spans="14:14" x14ac:dyDescent="0.25">
      <c r="N559" s="74"/>
    </row>
    <row r="560" spans="14:14" x14ac:dyDescent="0.25">
      <c r="N560" s="74"/>
    </row>
    <row r="561" spans="14:14" x14ac:dyDescent="0.25">
      <c r="N561" s="74"/>
    </row>
    <row r="562" spans="14:14" x14ac:dyDescent="0.25">
      <c r="N562" s="74"/>
    </row>
    <row r="563" spans="14:14" x14ac:dyDescent="0.25">
      <c r="N563" s="74"/>
    </row>
    <row r="564" spans="14:14" x14ac:dyDescent="0.25">
      <c r="N564" s="74"/>
    </row>
    <row r="565" spans="14:14" x14ac:dyDescent="0.25">
      <c r="N565" s="74"/>
    </row>
    <row r="566" spans="14:14" x14ac:dyDescent="0.25">
      <c r="N566" s="74"/>
    </row>
    <row r="567" spans="14:14" x14ac:dyDescent="0.25">
      <c r="N567" s="74"/>
    </row>
    <row r="568" spans="14:14" x14ac:dyDescent="0.25">
      <c r="N568" s="74"/>
    </row>
    <row r="569" spans="14:14" x14ac:dyDescent="0.25">
      <c r="N569" s="74"/>
    </row>
    <row r="570" spans="14:14" x14ac:dyDescent="0.25">
      <c r="N570" s="74"/>
    </row>
    <row r="571" spans="14:14" x14ac:dyDescent="0.25">
      <c r="N571" s="74"/>
    </row>
    <row r="572" spans="14:14" x14ac:dyDescent="0.25">
      <c r="N572" s="74"/>
    </row>
    <row r="573" spans="14:14" x14ac:dyDescent="0.25">
      <c r="N573" s="74"/>
    </row>
    <row r="574" spans="14:14" x14ac:dyDescent="0.25">
      <c r="N574" s="74"/>
    </row>
    <row r="575" spans="14:14" x14ac:dyDescent="0.25">
      <c r="N575" s="74"/>
    </row>
    <row r="576" spans="14:14" x14ac:dyDescent="0.25">
      <c r="N576" s="74"/>
    </row>
    <row r="577" spans="14:14" x14ac:dyDescent="0.25">
      <c r="N577" s="74"/>
    </row>
    <row r="578" spans="14:14" x14ac:dyDescent="0.25">
      <c r="N578" s="74"/>
    </row>
    <row r="579" spans="14:14" x14ac:dyDescent="0.25">
      <c r="N579" s="74"/>
    </row>
    <row r="580" spans="14:14" x14ac:dyDescent="0.25">
      <c r="N580" s="74"/>
    </row>
    <row r="581" spans="14:14" x14ac:dyDescent="0.25">
      <c r="N581" s="74"/>
    </row>
    <row r="582" spans="14:14" x14ac:dyDescent="0.25">
      <c r="N582" s="74"/>
    </row>
    <row r="583" spans="14:14" x14ac:dyDescent="0.25">
      <c r="N583" s="74"/>
    </row>
    <row r="584" spans="14:14" x14ac:dyDescent="0.25">
      <c r="N584" s="74"/>
    </row>
    <row r="585" spans="14:14" x14ac:dyDescent="0.25">
      <c r="N585" s="74"/>
    </row>
    <row r="586" spans="14:14" x14ac:dyDescent="0.25">
      <c r="N586" s="74"/>
    </row>
    <row r="587" spans="14:14" x14ac:dyDescent="0.25">
      <c r="N587" s="74"/>
    </row>
    <row r="588" spans="14:14" x14ac:dyDescent="0.25">
      <c r="N588" s="74"/>
    </row>
    <row r="589" spans="14:14" x14ac:dyDescent="0.25">
      <c r="N589" s="74"/>
    </row>
    <row r="590" spans="14:14" x14ac:dyDescent="0.25">
      <c r="N590" s="74"/>
    </row>
    <row r="591" spans="14:14" x14ac:dyDescent="0.25">
      <c r="N591" s="74"/>
    </row>
    <row r="592" spans="14:14" x14ac:dyDescent="0.25">
      <c r="N592" s="74"/>
    </row>
    <row r="593" spans="14:14" x14ac:dyDescent="0.25">
      <c r="N593" s="74"/>
    </row>
    <row r="594" spans="14:14" x14ac:dyDescent="0.25">
      <c r="N594" s="74"/>
    </row>
    <row r="595" spans="14:14" x14ac:dyDescent="0.25">
      <c r="N595" s="74"/>
    </row>
    <row r="596" spans="14:14" x14ac:dyDescent="0.25">
      <c r="N596" s="74"/>
    </row>
    <row r="597" spans="14:14" x14ac:dyDescent="0.25">
      <c r="N597" s="74"/>
    </row>
    <row r="598" spans="14:14" x14ac:dyDescent="0.25">
      <c r="N598" s="74"/>
    </row>
    <row r="599" spans="14:14" x14ac:dyDescent="0.25">
      <c r="N599" s="74"/>
    </row>
    <row r="600" spans="14:14" x14ac:dyDescent="0.25">
      <c r="N600" s="74"/>
    </row>
    <row r="601" spans="14:14" x14ac:dyDescent="0.25">
      <c r="N601" s="74"/>
    </row>
    <row r="602" spans="14:14" x14ac:dyDescent="0.25">
      <c r="N602" s="74"/>
    </row>
    <row r="603" spans="14:14" x14ac:dyDescent="0.25">
      <c r="N603" s="74"/>
    </row>
    <row r="604" spans="14:14" x14ac:dyDescent="0.25">
      <c r="N604" s="74"/>
    </row>
    <row r="605" spans="14:14" x14ac:dyDescent="0.25">
      <c r="N605" s="74"/>
    </row>
    <row r="606" spans="14:14" x14ac:dyDescent="0.25">
      <c r="N606" s="74"/>
    </row>
    <row r="607" spans="14:14" x14ac:dyDescent="0.25">
      <c r="N607" s="74"/>
    </row>
    <row r="608" spans="14:14" x14ac:dyDescent="0.25">
      <c r="N608" s="74"/>
    </row>
    <row r="609" spans="14:14" x14ac:dyDescent="0.25">
      <c r="N609" s="74"/>
    </row>
    <row r="610" spans="14:14" x14ac:dyDescent="0.25">
      <c r="N610" s="74"/>
    </row>
    <row r="611" spans="14:14" x14ac:dyDescent="0.25">
      <c r="N611" s="74"/>
    </row>
    <row r="612" spans="14:14" x14ac:dyDescent="0.25">
      <c r="N612" s="74"/>
    </row>
    <row r="613" spans="14:14" x14ac:dyDescent="0.25">
      <c r="N613" s="74"/>
    </row>
    <row r="614" spans="14:14" x14ac:dyDescent="0.25">
      <c r="N614" s="74"/>
    </row>
    <row r="615" spans="14:14" x14ac:dyDescent="0.25">
      <c r="N615" s="74"/>
    </row>
    <row r="616" spans="14:14" x14ac:dyDescent="0.25">
      <c r="N616" s="74"/>
    </row>
    <row r="617" spans="14:14" x14ac:dyDescent="0.25">
      <c r="N617" s="74"/>
    </row>
    <row r="618" spans="14:14" x14ac:dyDescent="0.25">
      <c r="N618" s="74"/>
    </row>
    <row r="619" spans="14:14" x14ac:dyDescent="0.25">
      <c r="N619" s="74"/>
    </row>
    <row r="620" spans="14:14" x14ac:dyDescent="0.25">
      <c r="N620" s="74"/>
    </row>
    <row r="621" spans="14:14" x14ac:dyDescent="0.25">
      <c r="N621" s="74"/>
    </row>
    <row r="622" spans="14:14" x14ac:dyDescent="0.25">
      <c r="N622" s="74"/>
    </row>
    <row r="623" spans="14:14" x14ac:dyDescent="0.25">
      <c r="N623" s="74"/>
    </row>
    <row r="624" spans="14:14" x14ac:dyDescent="0.25">
      <c r="N624" s="74"/>
    </row>
    <row r="625" spans="14:14" x14ac:dyDescent="0.25">
      <c r="N625" s="74"/>
    </row>
    <row r="626" spans="14:14" x14ac:dyDescent="0.25">
      <c r="N626" s="74"/>
    </row>
    <row r="627" spans="14:14" x14ac:dyDescent="0.25">
      <c r="N627" s="74"/>
    </row>
    <row r="628" spans="14:14" x14ac:dyDescent="0.25">
      <c r="N628" s="74"/>
    </row>
    <row r="629" spans="14:14" x14ac:dyDescent="0.25">
      <c r="N629" s="74"/>
    </row>
    <row r="630" spans="14:14" x14ac:dyDescent="0.25">
      <c r="N630" s="74"/>
    </row>
    <row r="631" spans="14:14" x14ac:dyDescent="0.25">
      <c r="N631" s="74"/>
    </row>
    <row r="632" spans="14:14" x14ac:dyDescent="0.25">
      <c r="N632" s="74"/>
    </row>
    <row r="633" spans="14:14" x14ac:dyDescent="0.25">
      <c r="N633" s="74"/>
    </row>
    <row r="634" spans="14:14" x14ac:dyDescent="0.25">
      <c r="N634" s="74"/>
    </row>
    <row r="635" spans="14:14" x14ac:dyDescent="0.25">
      <c r="N635" s="74"/>
    </row>
    <row r="636" spans="14:14" x14ac:dyDescent="0.25">
      <c r="N636" s="74"/>
    </row>
    <row r="637" spans="14:14" x14ac:dyDescent="0.25">
      <c r="N637" s="74"/>
    </row>
    <row r="638" spans="14:14" x14ac:dyDescent="0.25">
      <c r="N638" s="74"/>
    </row>
    <row r="639" spans="14:14" x14ac:dyDescent="0.25">
      <c r="N639" s="74"/>
    </row>
    <row r="640" spans="14:14" x14ac:dyDescent="0.25">
      <c r="N640" s="74"/>
    </row>
    <row r="641" spans="14:14" x14ac:dyDescent="0.25">
      <c r="N641" s="74"/>
    </row>
    <row r="642" spans="14:14" x14ac:dyDescent="0.25">
      <c r="N642" s="74"/>
    </row>
    <row r="643" spans="14:14" x14ac:dyDescent="0.25">
      <c r="N643" s="74"/>
    </row>
    <row r="644" spans="14:14" x14ac:dyDescent="0.25">
      <c r="N644" s="74"/>
    </row>
    <row r="645" spans="14:14" x14ac:dyDescent="0.25">
      <c r="N645" s="74"/>
    </row>
    <row r="646" spans="14:14" x14ac:dyDescent="0.25">
      <c r="N646" s="74"/>
    </row>
    <row r="647" spans="14:14" x14ac:dyDescent="0.25">
      <c r="N647" s="74"/>
    </row>
    <row r="648" spans="14:14" x14ac:dyDescent="0.25">
      <c r="N648" s="74"/>
    </row>
    <row r="649" spans="14:14" x14ac:dyDescent="0.25">
      <c r="N649" s="74"/>
    </row>
    <row r="650" spans="14:14" x14ac:dyDescent="0.25">
      <c r="N650" s="74"/>
    </row>
    <row r="651" spans="14:14" x14ac:dyDescent="0.25">
      <c r="N651" s="74"/>
    </row>
    <row r="652" spans="14:14" x14ac:dyDescent="0.25">
      <c r="N652" s="74"/>
    </row>
    <row r="653" spans="14:14" x14ac:dyDescent="0.25">
      <c r="N653" s="74"/>
    </row>
    <row r="654" spans="14:14" x14ac:dyDescent="0.25">
      <c r="N654" s="74"/>
    </row>
    <row r="655" spans="14:14" x14ac:dyDescent="0.25">
      <c r="N655" s="74"/>
    </row>
    <row r="656" spans="14:14" x14ac:dyDescent="0.25">
      <c r="N656" s="74"/>
    </row>
    <row r="657" spans="14:14" x14ac:dyDescent="0.25">
      <c r="N657" s="74"/>
    </row>
    <row r="658" spans="14:14" x14ac:dyDescent="0.25">
      <c r="N658" s="74"/>
    </row>
    <row r="659" spans="14:14" x14ac:dyDescent="0.25">
      <c r="N659" s="74"/>
    </row>
    <row r="660" spans="14:14" x14ac:dyDescent="0.25">
      <c r="N660" s="74"/>
    </row>
    <row r="661" spans="14:14" x14ac:dyDescent="0.25">
      <c r="N661" s="74"/>
    </row>
    <row r="662" spans="14:14" x14ac:dyDescent="0.25">
      <c r="N662" s="74"/>
    </row>
    <row r="663" spans="14:14" x14ac:dyDescent="0.25">
      <c r="N663" s="74"/>
    </row>
    <row r="664" spans="14:14" x14ac:dyDescent="0.25">
      <c r="N664" s="74"/>
    </row>
    <row r="665" spans="14:14" x14ac:dyDescent="0.25">
      <c r="N665" s="74"/>
    </row>
    <row r="666" spans="14:14" x14ac:dyDescent="0.25">
      <c r="N666" s="74"/>
    </row>
    <row r="667" spans="14:14" x14ac:dyDescent="0.25">
      <c r="N667" s="74"/>
    </row>
    <row r="668" spans="14:14" x14ac:dyDescent="0.25">
      <c r="N668" s="74"/>
    </row>
    <row r="669" spans="14:14" x14ac:dyDescent="0.25">
      <c r="N669" s="74"/>
    </row>
    <row r="670" spans="14:14" x14ac:dyDescent="0.25">
      <c r="N670" s="74"/>
    </row>
    <row r="671" spans="14:14" x14ac:dyDescent="0.25">
      <c r="N671" s="74"/>
    </row>
    <row r="672" spans="14:14" x14ac:dyDescent="0.25">
      <c r="N672" s="74"/>
    </row>
    <row r="673" spans="14:14" x14ac:dyDescent="0.25">
      <c r="N673" s="74"/>
    </row>
    <row r="674" spans="14:14" x14ac:dyDescent="0.25">
      <c r="N674" s="74"/>
    </row>
    <row r="675" spans="14:14" x14ac:dyDescent="0.25">
      <c r="N675" s="74"/>
    </row>
    <row r="676" spans="14:14" x14ac:dyDescent="0.25">
      <c r="N676" s="74"/>
    </row>
    <row r="677" spans="14:14" x14ac:dyDescent="0.25">
      <c r="N677" s="74"/>
    </row>
    <row r="678" spans="14:14" x14ac:dyDescent="0.25">
      <c r="N678" s="74"/>
    </row>
    <row r="679" spans="14:14" x14ac:dyDescent="0.25">
      <c r="N679" s="74"/>
    </row>
    <row r="680" spans="14:14" x14ac:dyDescent="0.25">
      <c r="N680" s="74"/>
    </row>
    <row r="681" spans="14:14" x14ac:dyDescent="0.25">
      <c r="N681" s="74"/>
    </row>
    <row r="682" spans="14:14" x14ac:dyDescent="0.25">
      <c r="N682" s="74"/>
    </row>
    <row r="683" spans="14:14" x14ac:dyDescent="0.25">
      <c r="N683" s="74"/>
    </row>
    <row r="684" spans="14:14" x14ac:dyDescent="0.25">
      <c r="N684" s="74"/>
    </row>
    <row r="685" spans="14:14" x14ac:dyDescent="0.25">
      <c r="N685" s="74"/>
    </row>
    <row r="686" spans="14:14" x14ac:dyDescent="0.25">
      <c r="N686" s="74"/>
    </row>
    <row r="687" spans="14:14" x14ac:dyDescent="0.25">
      <c r="N687" s="74"/>
    </row>
    <row r="688" spans="14:14" x14ac:dyDescent="0.25">
      <c r="N688" s="74"/>
    </row>
    <row r="689" spans="14:14" x14ac:dyDescent="0.25">
      <c r="N689" s="74"/>
    </row>
    <row r="690" spans="14:14" x14ac:dyDescent="0.25">
      <c r="N690" s="74"/>
    </row>
    <row r="691" spans="14:14" x14ac:dyDescent="0.25">
      <c r="N691" s="74"/>
    </row>
    <row r="692" spans="14:14" x14ac:dyDescent="0.25">
      <c r="N692" s="74"/>
    </row>
    <row r="693" spans="14:14" x14ac:dyDescent="0.25">
      <c r="N693" s="74"/>
    </row>
    <row r="694" spans="14:14" x14ac:dyDescent="0.25">
      <c r="N694" s="74"/>
    </row>
    <row r="695" spans="14:14" x14ac:dyDescent="0.25">
      <c r="N695" s="74"/>
    </row>
    <row r="696" spans="14:14" x14ac:dyDescent="0.25">
      <c r="N696" s="74"/>
    </row>
    <row r="697" spans="14:14" x14ac:dyDescent="0.25">
      <c r="N697" s="74"/>
    </row>
    <row r="698" spans="14:14" x14ac:dyDescent="0.25">
      <c r="N698" s="74"/>
    </row>
    <row r="699" spans="14:14" x14ac:dyDescent="0.25">
      <c r="N699" s="74"/>
    </row>
    <row r="700" spans="14:14" x14ac:dyDescent="0.25">
      <c r="N700" s="74"/>
    </row>
    <row r="701" spans="14:14" x14ac:dyDescent="0.25">
      <c r="N701" s="74"/>
    </row>
    <row r="702" spans="14:14" x14ac:dyDescent="0.25">
      <c r="N702" s="74"/>
    </row>
    <row r="703" spans="14:14" x14ac:dyDescent="0.25">
      <c r="N703" s="74"/>
    </row>
    <row r="704" spans="14:14" x14ac:dyDescent="0.25">
      <c r="N704" s="74"/>
    </row>
    <row r="705" spans="14:14" x14ac:dyDescent="0.25">
      <c r="N705" s="74"/>
    </row>
    <row r="706" spans="14:14" x14ac:dyDescent="0.25">
      <c r="N706" s="74"/>
    </row>
    <row r="707" spans="14:14" x14ac:dyDescent="0.25">
      <c r="N707" s="74"/>
    </row>
    <row r="708" spans="14:14" x14ac:dyDescent="0.25">
      <c r="N708" s="74"/>
    </row>
    <row r="709" spans="14:14" x14ac:dyDescent="0.25">
      <c r="N709" s="74"/>
    </row>
    <row r="710" spans="14:14" x14ac:dyDescent="0.25">
      <c r="N710" s="74"/>
    </row>
    <row r="711" spans="14:14" x14ac:dyDescent="0.25">
      <c r="N711" s="74"/>
    </row>
    <row r="712" spans="14:14" x14ac:dyDescent="0.25">
      <c r="N712" s="74"/>
    </row>
    <row r="713" spans="14:14" x14ac:dyDescent="0.25">
      <c r="N713" s="74"/>
    </row>
    <row r="714" spans="14:14" x14ac:dyDescent="0.25">
      <c r="N714" s="74"/>
    </row>
    <row r="715" spans="14:14" x14ac:dyDescent="0.25">
      <c r="N715" s="74"/>
    </row>
    <row r="716" spans="14:14" x14ac:dyDescent="0.25">
      <c r="N716" s="74"/>
    </row>
    <row r="717" spans="14:14" x14ac:dyDescent="0.25">
      <c r="N717" s="74"/>
    </row>
    <row r="718" spans="14:14" x14ac:dyDescent="0.25">
      <c r="N718" s="74"/>
    </row>
    <row r="719" spans="14:14" x14ac:dyDescent="0.25">
      <c r="N719" s="74"/>
    </row>
    <row r="720" spans="14:14" x14ac:dyDescent="0.25">
      <c r="N720" s="74"/>
    </row>
    <row r="721" spans="14:14" x14ac:dyDescent="0.25">
      <c r="N721" s="74"/>
    </row>
    <row r="722" spans="14:14" x14ac:dyDescent="0.25">
      <c r="N722" s="74"/>
    </row>
    <row r="723" spans="14:14" x14ac:dyDescent="0.25">
      <c r="N723" s="74"/>
    </row>
    <row r="724" spans="14:14" x14ac:dyDescent="0.25">
      <c r="N724" s="74"/>
    </row>
    <row r="725" spans="14:14" x14ac:dyDescent="0.25">
      <c r="N725" s="74"/>
    </row>
    <row r="726" spans="14:14" x14ac:dyDescent="0.25">
      <c r="N726" s="74"/>
    </row>
    <row r="727" spans="14:14" x14ac:dyDescent="0.25">
      <c r="N727" s="74"/>
    </row>
    <row r="728" spans="14:14" x14ac:dyDescent="0.25">
      <c r="N728" s="74"/>
    </row>
    <row r="729" spans="14:14" x14ac:dyDescent="0.25">
      <c r="N729" s="74"/>
    </row>
    <row r="730" spans="14:14" x14ac:dyDescent="0.25">
      <c r="N730" s="74"/>
    </row>
    <row r="731" spans="14:14" x14ac:dyDescent="0.25">
      <c r="N731" s="74"/>
    </row>
    <row r="732" spans="14:14" x14ac:dyDescent="0.25">
      <c r="N732" s="74"/>
    </row>
    <row r="733" spans="14:14" x14ac:dyDescent="0.25">
      <c r="N733" s="74"/>
    </row>
    <row r="734" spans="14:14" x14ac:dyDescent="0.25">
      <c r="N734" s="74"/>
    </row>
    <row r="735" spans="14:14" x14ac:dyDescent="0.25">
      <c r="N735" s="74"/>
    </row>
    <row r="736" spans="14:14" x14ac:dyDescent="0.25">
      <c r="N736" s="74"/>
    </row>
    <row r="737" spans="14:14" x14ac:dyDescent="0.25">
      <c r="N737" s="74"/>
    </row>
    <row r="738" spans="14:14" x14ac:dyDescent="0.25">
      <c r="N738" s="74"/>
    </row>
    <row r="739" spans="14:14" x14ac:dyDescent="0.25">
      <c r="N739" s="74"/>
    </row>
    <row r="740" spans="14:14" x14ac:dyDescent="0.25">
      <c r="N740" s="74"/>
    </row>
    <row r="741" spans="14:14" x14ac:dyDescent="0.25">
      <c r="N741" s="74"/>
    </row>
    <row r="742" spans="14:14" x14ac:dyDescent="0.25">
      <c r="N742" s="74"/>
    </row>
    <row r="743" spans="14:14" x14ac:dyDescent="0.25">
      <c r="N743" s="74"/>
    </row>
    <row r="744" spans="14:14" x14ac:dyDescent="0.25">
      <c r="N744" s="74"/>
    </row>
    <row r="745" spans="14:14" x14ac:dyDescent="0.25">
      <c r="N745" s="74"/>
    </row>
    <row r="746" spans="14:14" x14ac:dyDescent="0.25">
      <c r="N746" s="74"/>
    </row>
    <row r="747" spans="14:14" x14ac:dyDescent="0.25">
      <c r="N747" s="74"/>
    </row>
    <row r="748" spans="14:14" x14ac:dyDescent="0.25">
      <c r="N748" s="74"/>
    </row>
    <row r="749" spans="14:14" x14ac:dyDescent="0.25">
      <c r="N749" s="74"/>
    </row>
    <row r="750" spans="14:14" x14ac:dyDescent="0.25">
      <c r="N750" s="74"/>
    </row>
    <row r="751" spans="14:14" x14ac:dyDescent="0.25">
      <c r="N751" s="74"/>
    </row>
    <row r="752" spans="14:14" x14ac:dyDescent="0.25">
      <c r="N752" s="74"/>
    </row>
    <row r="753" spans="14:14" x14ac:dyDescent="0.25">
      <c r="N753" s="74"/>
    </row>
    <row r="754" spans="14:14" x14ac:dyDescent="0.25">
      <c r="N754" s="74"/>
    </row>
    <row r="755" spans="14:14" x14ac:dyDescent="0.25">
      <c r="N755" s="74"/>
    </row>
    <row r="756" spans="14:14" x14ac:dyDescent="0.25">
      <c r="N756" s="74"/>
    </row>
    <row r="757" spans="14:14" x14ac:dyDescent="0.25">
      <c r="N757" s="74"/>
    </row>
    <row r="758" spans="14:14" x14ac:dyDescent="0.25">
      <c r="N758" s="74"/>
    </row>
    <row r="759" spans="14:14" x14ac:dyDescent="0.25">
      <c r="N759" s="74"/>
    </row>
    <row r="760" spans="14:14" x14ac:dyDescent="0.25">
      <c r="N760" s="74"/>
    </row>
    <row r="761" spans="14:14" x14ac:dyDescent="0.25">
      <c r="N761" s="74"/>
    </row>
    <row r="762" spans="14:14" x14ac:dyDescent="0.25">
      <c r="N762" s="74"/>
    </row>
    <row r="763" spans="14:14" x14ac:dyDescent="0.25">
      <c r="N763" s="74"/>
    </row>
    <row r="764" spans="14:14" x14ac:dyDescent="0.25">
      <c r="N764" s="74"/>
    </row>
    <row r="765" spans="14:14" x14ac:dyDescent="0.25">
      <c r="N765" s="74"/>
    </row>
    <row r="766" spans="14:14" x14ac:dyDescent="0.25">
      <c r="N766" s="74"/>
    </row>
    <row r="767" spans="14:14" x14ac:dyDescent="0.25">
      <c r="N767" s="74"/>
    </row>
    <row r="768" spans="14:14" x14ac:dyDescent="0.25">
      <c r="N768" s="74"/>
    </row>
    <row r="769" spans="14:14" x14ac:dyDescent="0.25">
      <c r="N769" s="74"/>
    </row>
    <row r="770" spans="14:14" x14ac:dyDescent="0.25">
      <c r="N770" s="74"/>
    </row>
    <row r="771" spans="14:14" x14ac:dyDescent="0.25">
      <c r="N771" s="74"/>
    </row>
    <row r="772" spans="14:14" x14ac:dyDescent="0.25">
      <c r="N772" s="74"/>
    </row>
    <row r="773" spans="14:14" x14ac:dyDescent="0.25">
      <c r="N773" s="74"/>
    </row>
    <row r="774" spans="14:14" x14ac:dyDescent="0.25">
      <c r="N774" s="74"/>
    </row>
    <row r="775" spans="14:14" x14ac:dyDescent="0.25">
      <c r="N775" s="74"/>
    </row>
    <row r="776" spans="14:14" x14ac:dyDescent="0.25">
      <c r="N776" s="74"/>
    </row>
    <row r="777" spans="14:14" x14ac:dyDescent="0.25">
      <c r="N777" s="74"/>
    </row>
    <row r="778" spans="14:14" x14ac:dyDescent="0.25">
      <c r="N778" s="74"/>
    </row>
    <row r="779" spans="14:14" x14ac:dyDescent="0.25">
      <c r="N779" s="74"/>
    </row>
    <row r="780" spans="14:14" x14ac:dyDescent="0.25">
      <c r="N780" s="74"/>
    </row>
    <row r="781" spans="14:14" x14ac:dyDescent="0.25">
      <c r="N781" s="74"/>
    </row>
    <row r="782" spans="14:14" x14ac:dyDescent="0.25">
      <c r="N782" s="74"/>
    </row>
    <row r="783" spans="14:14" x14ac:dyDescent="0.25">
      <c r="N783" s="74"/>
    </row>
    <row r="784" spans="14:14" x14ac:dyDescent="0.25">
      <c r="N784" s="74"/>
    </row>
    <row r="785" spans="14:14" x14ac:dyDescent="0.25">
      <c r="N785" s="74"/>
    </row>
    <row r="786" spans="14:14" x14ac:dyDescent="0.25">
      <c r="N786" s="74"/>
    </row>
    <row r="787" spans="14:14" x14ac:dyDescent="0.25">
      <c r="N787" s="74"/>
    </row>
    <row r="788" spans="14:14" x14ac:dyDescent="0.25">
      <c r="N788" s="74"/>
    </row>
    <row r="789" spans="14:14" x14ac:dyDescent="0.25">
      <c r="N789" s="74"/>
    </row>
    <row r="790" spans="14:14" x14ac:dyDescent="0.25">
      <c r="N790" s="74"/>
    </row>
    <row r="791" spans="14:14" x14ac:dyDescent="0.25">
      <c r="N791" s="74"/>
    </row>
    <row r="792" spans="14:14" x14ac:dyDescent="0.25">
      <c r="N792" s="74"/>
    </row>
    <row r="793" spans="14:14" x14ac:dyDescent="0.25">
      <c r="N793" s="74"/>
    </row>
    <row r="794" spans="14:14" x14ac:dyDescent="0.25">
      <c r="N794" s="74"/>
    </row>
    <row r="795" spans="14:14" x14ac:dyDescent="0.25">
      <c r="N795" s="74"/>
    </row>
    <row r="796" spans="14:14" x14ac:dyDescent="0.25">
      <c r="N796" s="74"/>
    </row>
    <row r="797" spans="14:14" x14ac:dyDescent="0.25">
      <c r="N797" s="74"/>
    </row>
    <row r="798" spans="14:14" x14ac:dyDescent="0.25">
      <c r="N798" s="74"/>
    </row>
    <row r="799" spans="14:14" x14ac:dyDescent="0.25">
      <c r="N799" s="74"/>
    </row>
    <row r="800" spans="14:14" x14ac:dyDescent="0.25">
      <c r="N800" s="74"/>
    </row>
    <row r="801" spans="14:14" x14ac:dyDescent="0.25">
      <c r="N801" s="74"/>
    </row>
    <row r="802" spans="14:14" x14ac:dyDescent="0.25">
      <c r="N802" s="74"/>
    </row>
    <row r="803" spans="14:14" x14ac:dyDescent="0.25">
      <c r="N803" s="74"/>
    </row>
    <row r="804" spans="14:14" x14ac:dyDescent="0.25">
      <c r="N804" s="74"/>
    </row>
    <row r="805" spans="14:14" x14ac:dyDescent="0.25">
      <c r="N805" s="74"/>
    </row>
    <row r="806" spans="14:14" x14ac:dyDescent="0.25">
      <c r="N806" s="74"/>
    </row>
    <row r="807" spans="14:14" x14ac:dyDescent="0.25">
      <c r="N807" s="74"/>
    </row>
    <row r="808" spans="14:14" x14ac:dyDescent="0.25">
      <c r="N808" s="74"/>
    </row>
    <row r="809" spans="14:14" x14ac:dyDescent="0.25">
      <c r="N809" s="74"/>
    </row>
    <row r="810" spans="14:14" x14ac:dyDescent="0.25">
      <c r="N810" s="74"/>
    </row>
    <row r="811" spans="14:14" x14ac:dyDescent="0.25">
      <c r="N811" s="74"/>
    </row>
    <row r="812" spans="14:14" x14ac:dyDescent="0.25">
      <c r="N812" s="74"/>
    </row>
    <row r="813" spans="14:14" x14ac:dyDescent="0.25">
      <c r="N813" s="74"/>
    </row>
    <row r="814" spans="14:14" x14ac:dyDescent="0.25">
      <c r="N814" s="74"/>
    </row>
    <row r="815" spans="14:14" x14ac:dyDescent="0.25">
      <c r="N815" s="74"/>
    </row>
    <row r="816" spans="14:14" x14ac:dyDescent="0.25">
      <c r="N816" s="74"/>
    </row>
    <row r="817" spans="14:14" x14ac:dyDescent="0.25">
      <c r="N817" s="74"/>
    </row>
    <row r="818" spans="14:14" x14ac:dyDescent="0.25">
      <c r="N818" s="74"/>
    </row>
    <row r="819" spans="14:14" x14ac:dyDescent="0.25">
      <c r="N819" s="74"/>
    </row>
    <row r="820" spans="14:14" x14ac:dyDescent="0.25">
      <c r="N820" s="74"/>
    </row>
    <row r="821" spans="14:14" x14ac:dyDescent="0.25">
      <c r="N821" s="74"/>
    </row>
    <row r="822" spans="14:14" x14ac:dyDescent="0.25">
      <c r="N822" s="74"/>
    </row>
    <row r="823" spans="14:14" x14ac:dyDescent="0.25">
      <c r="N823" s="74"/>
    </row>
    <row r="824" spans="14:14" x14ac:dyDescent="0.25">
      <c r="N824" s="74"/>
    </row>
    <row r="825" spans="14:14" x14ac:dyDescent="0.25">
      <c r="N825" s="74"/>
    </row>
    <row r="826" spans="14:14" x14ac:dyDescent="0.25">
      <c r="N826" s="74"/>
    </row>
    <row r="827" spans="14:14" x14ac:dyDescent="0.25">
      <c r="N827" s="74"/>
    </row>
    <row r="828" spans="14:14" x14ac:dyDescent="0.25">
      <c r="N828" s="74"/>
    </row>
    <row r="829" spans="14:14" x14ac:dyDescent="0.25">
      <c r="N829" s="74"/>
    </row>
    <row r="830" spans="14:14" x14ac:dyDescent="0.25">
      <c r="N830" s="74"/>
    </row>
    <row r="831" spans="14:14" x14ac:dyDescent="0.25">
      <c r="N831" s="74"/>
    </row>
    <row r="832" spans="14:14" x14ac:dyDescent="0.25">
      <c r="N832" s="74"/>
    </row>
    <row r="833" spans="14:14" x14ac:dyDescent="0.25">
      <c r="N833" s="74"/>
    </row>
    <row r="834" spans="14:14" x14ac:dyDescent="0.25">
      <c r="N834" s="74"/>
    </row>
    <row r="835" spans="14:14" x14ac:dyDescent="0.25">
      <c r="N835" s="74"/>
    </row>
    <row r="836" spans="14:14" x14ac:dyDescent="0.25">
      <c r="N836" s="74"/>
    </row>
    <row r="837" spans="14:14" x14ac:dyDescent="0.25">
      <c r="N837" s="74"/>
    </row>
    <row r="838" spans="14:14" x14ac:dyDescent="0.25">
      <c r="N838" s="74"/>
    </row>
    <row r="839" spans="14:14" x14ac:dyDescent="0.25">
      <c r="N839" s="74"/>
    </row>
    <row r="840" spans="14:14" x14ac:dyDescent="0.25">
      <c r="N840" s="74"/>
    </row>
    <row r="841" spans="14:14" x14ac:dyDescent="0.25">
      <c r="N841" s="74"/>
    </row>
    <row r="842" spans="14:14" x14ac:dyDescent="0.25">
      <c r="N842" s="74"/>
    </row>
    <row r="843" spans="14:14" x14ac:dyDescent="0.25">
      <c r="N843" s="74"/>
    </row>
    <row r="844" spans="14:14" x14ac:dyDescent="0.25">
      <c r="N844" s="74"/>
    </row>
    <row r="845" spans="14:14" x14ac:dyDescent="0.25">
      <c r="N845" s="74"/>
    </row>
    <row r="846" spans="14:14" x14ac:dyDescent="0.25">
      <c r="N846" s="74"/>
    </row>
    <row r="847" spans="14:14" x14ac:dyDescent="0.25">
      <c r="N847" s="74"/>
    </row>
    <row r="848" spans="14:14" x14ac:dyDescent="0.25">
      <c r="N848" s="74"/>
    </row>
    <row r="849" spans="14:14" x14ac:dyDescent="0.25">
      <c r="N849" s="74"/>
    </row>
    <row r="850" spans="14:14" x14ac:dyDescent="0.25">
      <c r="N850" s="74"/>
    </row>
    <row r="851" spans="14:14" x14ac:dyDescent="0.25">
      <c r="N851" s="74"/>
    </row>
    <row r="852" spans="14:14" x14ac:dyDescent="0.25">
      <c r="N852" s="74"/>
    </row>
    <row r="853" spans="14:14" x14ac:dyDescent="0.25">
      <c r="N853" s="74"/>
    </row>
    <row r="854" spans="14:14" x14ac:dyDescent="0.25">
      <c r="N854" s="74"/>
    </row>
    <row r="855" spans="14:14" x14ac:dyDescent="0.25">
      <c r="N855" s="74"/>
    </row>
    <row r="856" spans="14:14" x14ac:dyDescent="0.25">
      <c r="N856" s="74"/>
    </row>
    <row r="857" spans="14:14" x14ac:dyDescent="0.25">
      <c r="N857" s="74"/>
    </row>
    <row r="858" spans="14:14" x14ac:dyDescent="0.25">
      <c r="N858" s="74"/>
    </row>
    <row r="859" spans="14:14" x14ac:dyDescent="0.25">
      <c r="N859" s="74"/>
    </row>
    <row r="860" spans="14:14" x14ac:dyDescent="0.25">
      <c r="N860" s="74"/>
    </row>
    <row r="861" spans="14:14" x14ac:dyDescent="0.25">
      <c r="N861" s="74"/>
    </row>
    <row r="862" spans="14:14" x14ac:dyDescent="0.25">
      <c r="N862" s="74"/>
    </row>
    <row r="863" spans="14:14" x14ac:dyDescent="0.25">
      <c r="N863" s="74"/>
    </row>
    <row r="864" spans="14:14" x14ac:dyDescent="0.25">
      <c r="N864" s="74"/>
    </row>
    <row r="865" spans="14:14" x14ac:dyDescent="0.25">
      <c r="N865" s="74"/>
    </row>
    <row r="866" spans="14:14" x14ac:dyDescent="0.25">
      <c r="N866" s="74"/>
    </row>
    <row r="867" spans="14:14" x14ac:dyDescent="0.25">
      <c r="N867" s="74"/>
    </row>
    <row r="868" spans="14:14" x14ac:dyDescent="0.25">
      <c r="N868" s="74"/>
    </row>
    <row r="869" spans="14:14" x14ac:dyDescent="0.25">
      <c r="N869" s="74"/>
    </row>
    <row r="870" spans="14:14" x14ac:dyDescent="0.25">
      <c r="N870" s="74"/>
    </row>
    <row r="871" spans="14:14" x14ac:dyDescent="0.25">
      <c r="N871" s="74"/>
    </row>
    <row r="872" spans="14:14" x14ac:dyDescent="0.25">
      <c r="N872" s="74"/>
    </row>
    <row r="873" spans="14:14" x14ac:dyDescent="0.25">
      <c r="N873" s="74"/>
    </row>
    <row r="874" spans="14:14" x14ac:dyDescent="0.25">
      <c r="N874" s="74"/>
    </row>
    <row r="875" spans="14:14" x14ac:dyDescent="0.25">
      <c r="N875" s="74"/>
    </row>
    <row r="876" spans="14:14" x14ac:dyDescent="0.25">
      <c r="N876" s="74"/>
    </row>
    <row r="877" spans="14:14" x14ac:dyDescent="0.25">
      <c r="N877" s="74"/>
    </row>
    <row r="878" spans="14:14" x14ac:dyDescent="0.25">
      <c r="N878" s="74"/>
    </row>
    <row r="879" spans="14:14" x14ac:dyDescent="0.25">
      <c r="N879" s="74"/>
    </row>
    <row r="880" spans="14:14" x14ac:dyDescent="0.25">
      <c r="N880" s="74"/>
    </row>
    <row r="881" spans="14:14" x14ac:dyDescent="0.25">
      <c r="N881" s="74"/>
    </row>
    <row r="882" spans="14:14" x14ac:dyDescent="0.25">
      <c r="N882" s="74"/>
    </row>
    <row r="883" spans="14:14" x14ac:dyDescent="0.25">
      <c r="N883" s="74"/>
    </row>
    <row r="884" spans="14:14" x14ac:dyDescent="0.25">
      <c r="N884" s="74"/>
    </row>
    <row r="885" spans="14:14" x14ac:dyDescent="0.25">
      <c r="N885" s="74"/>
    </row>
    <row r="886" spans="14:14" x14ac:dyDescent="0.25">
      <c r="N886" s="74"/>
    </row>
    <row r="887" spans="14:14" x14ac:dyDescent="0.25">
      <c r="N887" s="74"/>
    </row>
    <row r="888" spans="14:14" x14ac:dyDescent="0.25">
      <c r="N888" s="74"/>
    </row>
    <row r="889" spans="14:14" x14ac:dyDescent="0.25">
      <c r="N889" s="74"/>
    </row>
    <row r="890" spans="14:14" x14ac:dyDescent="0.25">
      <c r="N890" s="74"/>
    </row>
    <row r="891" spans="14:14" x14ac:dyDescent="0.25">
      <c r="N891" s="74"/>
    </row>
    <row r="892" spans="14:14" x14ac:dyDescent="0.25">
      <c r="N892" s="74"/>
    </row>
    <row r="893" spans="14:14" x14ac:dyDescent="0.25">
      <c r="N893" s="74"/>
    </row>
    <row r="894" spans="14:14" x14ac:dyDescent="0.25">
      <c r="N894" s="74"/>
    </row>
    <row r="895" spans="14:14" x14ac:dyDescent="0.25">
      <c r="N895" s="74"/>
    </row>
    <row r="896" spans="14:14" x14ac:dyDescent="0.25">
      <c r="N896" s="74"/>
    </row>
    <row r="897" spans="14:14" x14ac:dyDescent="0.25">
      <c r="N897" s="74"/>
    </row>
    <row r="898" spans="14:14" x14ac:dyDescent="0.25">
      <c r="N898" s="74"/>
    </row>
    <row r="899" spans="14:14" x14ac:dyDescent="0.25">
      <c r="N899" s="74"/>
    </row>
    <row r="900" spans="14:14" x14ac:dyDescent="0.25">
      <c r="N900" s="74"/>
    </row>
    <row r="901" spans="14:14" x14ac:dyDescent="0.25">
      <c r="N901" s="74"/>
    </row>
    <row r="902" spans="14:14" x14ac:dyDescent="0.25">
      <c r="N902" s="74"/>
    </row>
    <row r="903" spans="14:14" x14ac:dyDescent="0.25">
      <c r="N903" s="74"/>
    </row>
    <row r="904" spans="14:14" x14ac:dyDescent="0.25">
      <c r="N904" s="74"/>
    </row>
    <row r="905" spans="14:14" x14ac:dyDescent="0.25">
      <c r="N905" s="74"/>
    </row>
    <row r="906" spans="14:14" x14ac:dyDescent="0.25">
      <c r="N906" s="74"/>
    </row>
    <row r="907" spans="14:14" x14ac:dyDescent="0.25">
      <c r="N907" s="74"/>
    </row>
    <row r="908" spans="14:14" x14ac:dyDescent="0.25">
      <c r="N908" s="74"/>
    </row>
    <row r="909" spans="14:14" x14ac:dyDescent="0.25">
      <c r="N909" s="74"/>
    </row>
    <row r="910" spans="14:14" x14ac:dyDescent="0.25">
      <c r="N910" s="74"/>
    </row>
    <row r="911" spans="14:14" x14ac:dyDescent="0.25">
      <c r="N911" s="74"/>
    </row>
    <row r="912" spans="14:14" x14ac:dyDescent="0.25">
      <c r="N912" s="74"/>
    </row>
    <row r="913" spans="14:14" x14ac:dyDescent="0.25">
      <c r="N913" s="74"/>
    </row>
    <row r="914" spans="14:14" x14ac:dyDescent="0.25">
      <c r="N914" s="74"/>
    </row>
    <row r="915" spans="14:14" x14ac:dyDescent="0.25">
      <c r="N915" s="74"/>
    </row>
    <row r="916" spans="14:14" x14ac:dyDescent="0.25">
      <c r="N916" s="74"/>
    </row>
    <row r="917" spans="14:14" x14ac:dyDescent="0.25">
      <c r="N917" s="74"/>
    </row>
    <row r="918" spans="14:14" x14ac:dyDescent="0.25">
      <c r="N918" s="74"/>
    </row>
    <row r="919" spans="14:14" x14ac:dyDescent="0.25">
      <c r="N919" s="74"/>
    </row>
    <row r="920" spans="14:14" x14ac:dyDescent="0.25">
      <c r="N920" s="74"/>
    </row>
    <row r="921" spans="14:14" x14ac:dyDescent="0.25">
      <c r="N921" s="74"/>
    </row>
    <row r="922" spans="14:14" x14ac:dyDescent="0.25">
      <c r="N922" s="74"/>
    </row>
    <row r="923" spans="14:14" x14ac:dyDescent="0.25">
      <c r="N923" s="74"/>
    </row>
    <row r="924" spans="14:14" x14ac:dyDescent="0.25">
      <c r="N924" s="74"/>
    </row>
    <row r="925" spans="14:14" x14ac:dyDescent="0.25">
      <c r="N925" s="74"/>
    </row>
    <row r="926" spans="14:14" x14ac:dyDescent="0.25">
      <c r="N926" s="74"/>
    </row>
    <row r="927" spans="14:14" x14ac:dyDescent="0.25">
      <c r="N927" s="74"/>
    </row>
    <row r="928" spans="14:14" x14ac:dyDescent="0.25">
      <c r="N928" s="74"/>
    </row>
    <row r="929" spans="14:14" x14ac:dyDescent="0.25">
      <c r="N929" s="74"/>
    </row>
    <row r="930" spans="14:14" x14ac:dyDescent="0.25">
      <c r="N930" s="74"/>
    </row>
    <row r="931" spans="14:14" x14ac:dyDescent="0.25">
      <c r="N931" s="74"/>
    </row>
    <row r="932" spans="14:14" x14ac:dyDescent="0.25">
      <c r="N932" s="74"/>
    </row>
    <row r="933" spans="14:14" x14ac:dyDescent="0.25">
      <c r="N933" s="74"/>
    </row>
    <row r="934" spans="14:14" x14ac:dyDescent="0.25">
      <c r="N934" s="74"/>
    </row>
    <row r="935" spans="14:14" x14ac:dyDescent="0.25">
      <c r="N935" s="74"/>
    </row>
    <row r="936" spans="14:14" x14ac:dyDescent="0.25">
      <c r="N936" s="74"/>
    </row>
    <row r="937" spans="14:14" x14ac:dyDescent="0.25">
      <c r="N937" s="74"/>
    </row>
    <row r="938" spans="14:14" x14ac:dyDescent="0.25">
      <c r="N938" s="74"/>
    </row>
    <row r="939" spans="14:14" x14ac:dyDescent="0.25">
      <c r="N939" s="74"/>
    </row>
    <row r="940" spans="14:14" x14ac:dyDescent="0.25">
      <c r="N940" s="74"/>
    </row>
    <row r="941" spans="14:14" x14ac:dyDescent="0.25">
      <c r="N941" s="74"/>
    </row>
    <row r="942" spans="14:14" x14ac:dyDescent="0.25">
      <c r="N942" s="74"/>
    </row>
    <row r="943" spans="14:14" x14ac:dyDescent="0.25">
      <c r="N943" s="74"/>
    </row>
    <row r="944" spans="14:14" x14ac:dyDescent="0.25">
      <c r="N944" s="74"/>
    </row>
    <row r="945" spans="14:14" x14ac:dyDescent="0.25">
      <c r="N945" s="74"/>
    </row>
    <row r="946" spans="14:14" x14ac:dyDescent="0.25">
      <c r="N946" s="74"/>
    </row>
    <row r="947" spans="14:14" x14ac:dyDescent="0.25">
      <c r="N947" s="74"/>
    </row>
    <row r="948" spans="14:14" x14ac:dyDescent="0.25">
      <c r="N948" s="74"/>
    </row>
    <row r="949" spans="14:14" x14ac:dyDescent="0.25">
      <c r="N949" s="74"/>
    </row>
    <row r="950" spans="14:14" x14ac:dyDescent="0.25">
      <c r="N950" s="74"/>
    </row>
    <row r="951" spans="14:14" x14ac:dyDescent="0.25">
      <c r="N951" s="74"/>
    </row>
    <row r="952" spans="14:14" x14ac:dyDescent="0.25">
      <c r="N952" s="74"/>
    </row>
    <row r="953" spans="14:14" x14ac:dyDescent="0.25">
      <c r="N953" s="74"/>
    </row>
    <row r="954" spans="14:14" x14ac:dyDescent="0.25">
      <c r="N954" s="74"/>
    </row>
    <row r="955" spans="14:14" x14ac:dyDescent="0.25">
      <c r="N955" s="74"/>
    </row>
    <row r="956" spans="14:14" x14ac:dyDescent="0.25">
      <c r="N956" s="74"/>
    </row>
    <row r="957" spans="14:14" x14ac:dyDescent="0.25">
      <c r="N957" s="74"/>
    </row>
    <row r="958" spans="14:14" x14ac:dyDescent="0.25">
      <c r="N958" s="74"/>
    </row>
    <row r="959" spans="14:14" x14ac:dyDescent="0.25">
      <c r="N959" s="74"/>
    </row>
    <row r="960" spans="14:14" x14ac:dyDescent="0.25">
      <c r="N960" s="74"/>
    </row>
    <row r="961" spans="14:14" x14ac:dyDescent="0.25">
      <c r="N961" s="74"/>
    </row>
    <row r="962" spans="14:14" x14ac:dyDescent="0.25">
      <c r="N962" s="74"/>
    </row>
    <row r="963" spans="14:14" x14ac:dyDescent="0.25">
      <c r="N963" s="74"/>
    </row>
    <row r="964" spans="14:14" x14ac:dyDescent="0.25">
      <c r="N964" s="74"/>
    </row>
    <row r="965" spans="14:14" x14ac:dyDescent="0.25">
      <c r="N965" s="74"/>
    </row>
    <row r="966" spans="14:14" x14ac:dyDescent="0.25">
      <c r="N966" s="74"/>
    </row>
    <row r="967" spans="14:14" x14ac:dyDescent="0.25">
      <c r="N967" s="74"/>
    </row>
    <row r="968" spans="14:14" x14ac:dyDescent="0.25">
      <c r="N968" s="74"/>
    </row>
    <row r="969" spans="14:14" x14ac:dyDescent="0.25">
      <c r="N969" s="74"/>
    </row>
    <row r="970" spans="14:14" x14ac:dyDescent="0.25">
      <c r="N970" s="74"/>
    </row>
    <row r="971" spans="14:14" x14ac:dyDescent="0.25">
      <c r="N971" s="74"/>
    </row>
    <row r="972" spans="14:14" x14ac:dyDescent="0.25">
      <c r="N972" s="74"/>
    </row>
    <row r="973" spans="14:14" x14ac:dyDescent="0.25">
      <c r="N973" s="74"/>
    </row>
    <row r="974" spans="14:14" x14ac:dyDescent="0.25">
      <c r="N974" s="74"/>
    </row>
    <row r="975" spans="14:14" x14ac:dyDescent="0.25">
      <c r="N975" s="74"/>
    </row>
    <row r="976" spans="14:14" x14ac:dyDescent="0.25">
      <c r="N976" s="74"/>
    </row>
    <row r="977" spans="14:14" x14ac:dyDescent="0.25">
      <c r="N977" s="74"/>
    </row>
    <row r="978" spans="14:14" x14ac:dyDescent="0.25">
      <c r="N978" s="74"/>
    </row>
    <row r="979" spans="14:14" x14ac:dyDescent="0.25">
      <c r="N979" s="74"/>
    </row>
    <row r="980" spans="14:14" x14ac:dyDescent="0.25">
      <c r="N980" s="74"/>
    </row>
    <row r="981" spans="14:14" x14ac:dyDescent="0.25">
      <c r="N981" s="74"/>
    </row>
    <row r="982" spans="14:14" x14ac:dyDescent="0.25">
      <c r="N982" s="74"/>
    </row>
    <row r="983" spans="14:14" x14ac:dyDescent="0.25">
      <c r="N983" s="74"/>
    </row>
    <row r="984" spans="14:14" x14ac:dyDescent="0.25">
      <c r="N984" s="74"/>
    </row>
    <row r="985" spans="14:14" x14ac:dyDescent="0.25">
      <c r="N985" s="74"/>
    </row>
    <row r="986" spans="14:14" x14ac:dyDescent="0.25">
      <c r="N986" s="74"/>
    </row>
    <row r="987" spans="14:14" x14ac:dyDescent="0.25">
      <c r="N987" s="74"/>
    </row>
    <row r="988" spans="14:14" x14ac:dyDescent="0.25">
      <c r="N988" s="74"/>
    </row>
    <row r="989" spans="14:14" x14ac:dyDescent="0.25">
      <c r="N989" s="74"/>
    </row>
    <row r="990" spans="14:14" x14ac:dyDescent="0.25">
      <c r="N990" s="74"/>
    </row>
    <row r="991" spans="14:14" x14ac:dyDescent="0.25">
      <c r="N991" s="74"/>
    </row>
    <row r="992" spans="14:14" x14ac:dyDescent="0.25">
      <c r="N992" s="74"/>
    </row>
    <row r="993" spans="14:14" x14ac:dyDescent="0.25">
      <c r="N993" s="74"/>
    </row>
    <row r="994" spans="14:14" x14ac:dyDescent="0.25">
      <c r="N994" s="74"/>
    </row>
    <row r="995" spans="14:14" x14ac:dyDescent="0.25">
      <c r="N995" s="74"/>
    </row>
    <row r="996" spans="14:14" x14ac:dyDescent="0.25">
      <c r="N996" s="74"/>
    </row>
    <row r="997" spans="14:14" x14ac:dyDescent="0.25">
      <c r="N997" s="74"/>
    </row>
    <row r="998" spans="14:14" x14ac:dyDescent="0.25">
      <c r="N998" s="74"/>
    </row>
    <row r="999" spans="14:14" x14ac:dyDescent="0.25">
      <c r="N999" s="74"/>
    </row>
    <row r="1000" spans="14:14" x14ac:dyDescent="0.25">
      <c r="N1000" s="74"/>
    </row>
    <row r="1001" spans="14:14" x14ac:dyDescent="0.25">
      <c r="N1001" s="74"/>
    </row>
    <row r="1002" spans="14:14" x14ac:dyDescent="0.25">
      <c r="N1002" s="74"/>
    </row>
    <row r="1003" spans="14:14" x14ac:dyDescent="0.25">
      <c r="N1003" s="74"/>
    </row>
    <row r="1004" spans="14:14" x14ac:dyDescent="0.25">
      <c r="N1004" s="74"/>
    </row>
    <row r="1005" spans="14:14" x14ac:dyDescent="0.25">
      <c r="N1005" s="74"/>
    </row>
    <row r="1006" spans="14:14" x14ac:dyDescent="0.25">
      <c r="N1006" s="74"/>
    </row>
    <row r="1007" spans="14:14" x14ac:dyDescent="0.25">
      <c r="N1007" s="74"/>
    </row>
    <row r="1008" spans="14:14" x14ac:dyDescent="0.25">
      <c r="N1008" s="74"/>
    </row>
    <row r="1009" spans="14:14" x14ac:dyDescent="0.25">
      <c r="N1009" s="74"/>
    </row>
    <row r="1010" spans="14:14" x14ac:dyDescent="0.25">
      <c r="N1010" s="74"/>
    </row>
    <row r="1011" spans="14:14" x14ac:dyDescent="0.25">
      <c r="N1011" s="74"/>
    </row>
    <row r="1012" spans="14:14" x14ac:dyDescent="0.25">
      <c r="N1012" s="74"/>
    </row>
    <row r="1013" spans="14:14" x14ac:dyDescent="0.25">
      <c r="N1013" s="74"/>
    </row>
    <row r="1014" spans="14:14" x14ac:dyDescent="0.25">
      <c r="N1014" s="74"/>
    </row>
    <row r="1015" spans="14:14" x14ac:dyDescent="0.25">
      <c r="N1015" s="74"/>
    </row>
    <row r="1016" spans="14:14" x14ac:dyDescent="0.25">
      <c r="N1016" s="74"/>
    </row>
    <row r="1017" spans="14:14" x14ac:dyDescent="0.25">
      <c r="N1017" s="74"/>
    </row>
    <row r="1018" spans="14:14" x14ac:dyDescent="0.25">
      <c r="N1018" s="74"/>
    </row>
    <row r="1019" spans="14:14" x14ac:dyDescent="0.25">
      <c r="N1019" s="74"/>
    </row>
    <row r="1020" spans="14:14" x14ac:dyDescent="0.25">
      <c r="N1020" s="74"/>
    </row>
    <row r="1021" spans="14:14" x14ac:dyDescent="0.25">
      <c r="N1021" s="74"/>
    </row>
    <row r="1022" spans="14:14" x14ac:dyDescent="0.25">
      <c r="N1022" s="74"/>
    </row>
    <row r="1023" spans="14:14" x14ac:dyDescent="0.25">
      <c r="N1023" s="74"/>
    </row>
    <row r="1024" spans="14:14" x14ac:dyDescent="0.25">
      <c r="N1024" s="74"/>
    </row>
    <row r="1025" spans="14:14" x14ac:dyDescent="0.25">
      <c r="N1025" s="74"/>
    </row>
    <row r="1026" spans="14:14" x14ac:dyDescent="0.25">
      <c r="N1026" s="74"/>
    </row>
    <row r="1027" spans="14:14" x14ac:dyDescent="0.25">
      <c r="N1027" s="74"/>
    </row>
    <row r="1028" spans="14:14" x14ac:dyDescent="0.25">
      <c r="N1028" s="74"/>
    </row>
    <row r="1029" spans="14:14" x14ac:dyDescent="0.25">
      <c r="N1029" s="74"/>
    </row>
    <row r="1030" spans="14:14" x14ac:dyDescent="0.25">
      <c r="N1030" s="74"/>
    </row>
    <row r="1031" spans="14:14" x14ac:dyDescent="0.25">
      <c r="N1031" s="74"/>
    </row>
    <row r="1032" spans="14:14" x14ac:dyDescent="0.25">
      <c r="N1032" s="74"/>
    </row>
    <row r="1033" spans="14:14" x14ac:dyDescent="0.25">
      <c r="N1033" s="74"/>
    </row>
    <row r="1034" spans="14:14" x14ac:dyDescent="0.25">
      <c r="N1034" s="74"/>
    </row>
    <row r="1035" spans="14:14" x14ac:dyDescent="0.25">
      <c r="N1035" s="74"/>
    </row>
    <row r="1036" spans="14:14" x14ac:dyDescent="0.25">
      <c r="N1036" s="74"/>
    </row>
    <row r="1037" spans="14:14" x14ac:dyDescent="0.25">
      <c r="N1037" s="74"/>
    </row>
    <row r="1038" spans="14:14" x14ac:dyDescent="0.25">
      <c r="N1038" s="74"/>
    </row>
    <row r="1039" spans="14:14" x14ac:dyDescent="0.25">
      <c r="N1039" s="74"/>
    </row>
    <row r="1040" spans="14:14" x14ac:dyDescent="0.25">
      <c r="N1040" s="74"/>
    </row>
    <row r="1041" spans="14:14" x14ac:dyDescent="0.25">
      <c r="N1041" s="74"/>
    </row>
    <row r="1042" spans="14:14" x14ac:dyDescent="0.25">
      <c r="N1042" s="74"/>
    </row>
    <row r="1043" spans="14:14" x14ac:dyDescent="0.25">
      <c r="N1043" s="74"/>
    </row>
    <row r="1044" spans="14:14" x14ac:dyDescent="0.25">
      <c r="N1044" s="74"/>
    </row>
    <row r="1045" spans="14:14" x14ac:dyDescent="0.25">
      <c r="N1045" s="74"/>
    </row>
    <row r="1046" spans="14:14" x14ac:dyDescent="0.25">
      <c r="N1046" s="74"/>
    </row>
    <row r="1047" spans="14:14" x14ac:dyDescent="0.25">
      <c r="N1047" s="74"/>
    </row>
    <row r="1048" spans="14:14" x14ac:dyDescent="0.25">
      <c r="N1048" s="74"/>
    </row>
    <row r="1049" spans="14:14" x14ac:dyDescent="0.25">
      <c r="N1049" s="74"/>
    </row>
    <row r="1050" spans="14:14" x14ac:dyDescent="0.25">
      <c r="N1050" s="74"/>
    </row>
    <row r="1051" spans="14:14" x14ac:dyDescent="0.25">
      <c r="N1051" s="74"/>
    </row>
    <row r="1052" spans="14:14" x14ac:dyDescent="0.25">
      <c r="N1052" s="74"/>
    </row>
    <row r="1053" spans="14:14" x14ac:dyDescent="0.25">
      <c r="N1053" s="74"/>
    </row>
    <row r="1054" spans="14:14" x14ac:dyDescent="0.25">
      <c r="N1054" s="74"/>
    </row>
    <row r="1055" spans="14:14" x14ac:dyDescent="0.25">
      <c r="N1055" s="74"/>
    </row>
    <row r="1056" spans="14:14" x14ac:dyDescent="0.25">
      <c r="N1056" s="74"/>
    </row>
    <row r="1057" spans="14:14" x14ac:dyDescent="0.25">
      <c r="N1057" s="74"/>
    </row>
    <row r="1058" spans="14:14" x14ac:dyDescent="0.25">
      <c r="N1058" s="74"/>
    </row>
    <row r="1059" spans="14:14" x14ac:dyDescent="0.25">
      <c r="N1059" s="74"/>
    </row>
    <row r="1060" spans="14:14" x14ac:dyDescent="0.25">
      <c r="N1060" s="74"/>
    </row>
    <row r="1061" spans="14:14" x14ac:dyDescent="0.25">
      <c r="N1061" s="74"/>
    </row>
    <row r="1062" spans="14:14" x14ac:dyDescent="0.25">
      <c r="N1062" s="74"/>
    </row>
    <row r="1063" spans="14:14" x14ac:dyDescent="0.25">
      <c r="N1063" s="74"/>
    </row>
    <row r="1064" spans="14:14" x14ac:dyDescent="0.25">
      <c r="N1064" s="74"/>
    </row>
    <row r="1065" spans="14:14" x14ac:dyDescent="0.25">
      <c r="N1065" s="74"/>
    </row>
    <row r="1066" spans="14:14" x14ac:dyDescent="0.25">
      <c r="N1066" s="74"/>
    </row>
    <row r="1067" spans="14:14" x14ac:dyDescent="0.25">
      <c r="N1067" s="74"/>
    </row>
    <row r="1068" spans="14:14" x14ac:dyDescent="0.25">
      <c r="N1068" s="74"/>
    </row>
    <row r="1069" spans="14:14" x14ac:dyDescent="0.25">
      <c r="N1069" s="74"/>
    </row>
    <row r="1070" spans="14:14" x14ac:dyDescent="0.25">
      <c r="N1070" s="74"/>
    </row>
    <row r="1071" spans="14:14" x14ac:dyDescent="0.25">
      <c r="N1071" s="74"/>
    </row>
    <row r="1072" spans="14:14" x14ac:dyDescent="0.25">
      <c r="N1072" s="74"/>
    </row>
    <row r="1073" spans="14:14" x14ac:dyDescent="0.25">
      <c r="N1073" s="74"/>
    </row>
    <row r="1074" spans="14:14" x14ac:dyDescent="0.25">
      <c r="N1074" s="74"/>
    </row>
    <row r="1075" spans="14:14" x14ac:dyDescent="0.25">
      <c r="N1075" s="74"/>
    </row>
    <row r="1076" spans="14:14" x14ac:dyDescent="0.25">
      <c r="N1076" s="74"/>
    </row>
    <row r="1077" spans="14:14" x14ac:dyDescent="0.25">
      <c r="N1077" s="74"/>
    </row>
    <row r="1078" spans="14:14" x14ac:dyDescent="0.25">
      <c r="N1078" s="74"/>
    </row>
    <row r="1079" spans="14:14" x14ac:dyDescent="0.25">
      <c r="N1079" s="74"/>
    </row>
    <row r="1080" spans="14:14" x14ac:dyDescent="0.25">
      <c r="N1080" s="74"/>
    </row>
    <row r="1081" spans="14:14" x14ac:dyDescent="0.25">
      <c r="N1081" s="74"/>
    </row>
    <row r="1082" spans="14:14" x14ac:dyDescent="0.25">
      <c r="N1082" s="74"/>
    </row>
    <row r="1083" spans="14:14" x14ac:dyDescent="0.25">
      <c r="N1083" s="74"/>
    </row>
    <row r="1084" spans="14:14" x14ac:dyDescent="0.25">
      <c r="N1084" s="74"/>
    </row>
    <row r="1085" spans="14:14" x14ac:dyDescent="0.25">
      <c r="N1085" s="74"/>
    </row>
    <row r="1086" spans="14:14" x14ac:dyDescent="0.25">
      <c r="N1086" s="74"/>
    </row>
    <row r="1087" spans="14:14" x14ac:dyDescent="0.25">
      <c r="N1087" s="74"/>
    </row>
    <row r="1088" spans="14:14" x14ac:dyDescent="0.25">
      <c r="N1088" s="74"/>
    </row>
    <row r="1089" spans="14:14" x14ac:dyDescent="0.25">
      <c r="N1089" s="74"/>
    </row>
    <row r="1090" spans="14:14" x14ac:dyDescent="0.25">
      <c r="N1090" s="74"/>
    </row>
    <row r="1091" spans="14:14" x14ac:dyDescent="0.25">
      <c r="N1091" s="74"/>
    </row>
    <row r="1092" spans="14:14" x14ac:dyDescent="0.25">
      <c r="N1092" s="74"/>
    </row>
    <row r="1093" spans="14:14" x14ac:dyDescent="0.25">
      <c r="N1093" s="74"/>
    </row>
    <row r="1094" spans="14:14" x14ac:dyDescent="0.25">
      <c r="N1094" s="74"/>
    </row>
    <row r="1095" spans="14:14" x14ac:dyDescent="0.25">
      <c r="N1095" s="74"/>
    </row>
    <row r="1096" spans="14:14" x14ac:dyDescent="0.25">
      <c r="N1096" s="74"/>
    </row>
    <row r="1097" spans="14:14" x14ac:dyDescent="0.25">
      <c r="N1097" s="74"/>
    </row>
    <row r="1098" spans="14:14" x14ac:dyDescent="0.25">
      <c r="N1098" s="74"/>
    </row>
    <row r="1099" spans="14:14" x14ac:dyDescent="0.25">
      <c r="N1099" s="74"/>
    </row>
    <row r="1100" spans="14:14" x14ac:dyDescent="0.25">
      <c r="N1100" s="74"/>
    </row>
    <row r="1101" spans="14:14" x14ac:dyDescent="0.25">
      <c r="N1101" s="74"/>
    </row>
    <row r="1102" spans="14:14" x14ac:dyDescent="0.25">
      <c r="N1102" s="74"/>
    </row>
    <row r="1103" spans="14:14" x14ac:dyDescent="0.25">
      <c r="N1103" s="74"/>
    </row>
    <row r="1104" spans="14:14" x14ac:dyDescent="0.25">
      <c r="N1104" s="74"/>
    </row>
    <row r="1105" spans="14:14" x14ac:dyDescent="0.25">
      <c r="N1105" s="74"/>
    </row>
    <row r="1106" spans="14:14" x14ac:dyDescent="0.25">
      <c r="N1106" s="74"/>
    </row>
    <row r="1107" spans="14:14" x14ac:dyDescent="0.25">
      <c r="N1107" s="74"/>
    </row>
    <row r="1108" spans="14:14" x14ac:dyDescent="0.25">
      <c r="N1108" s="74"/>
    </row>
    <row r="1109" spans="14:14" x14ac:dyDescent="0.25">
      <c r="N1109" s="74"/>
    </row>
    <row r="1110" spans="14:14" x14ac:dyDescent="0.25">
      <c r="N1110" s="74"/>
    </row>
    <row r="1111" spans="14:14" x14ac:dyDescent="0.25">
      <c r="N1111" s="74"/>
    </row>
    <row r="1112" spans="14:14" x14ac:dyDescent="0.25">
      <c r="N1112" s="74"/>
    </row>
    <row r="1113" spans="14:14" x14ac:dyDescent="0.25">
      <c r="N1113" s="74"/>
    </row>
    <row r="1114" spans="14:14" x14ac:dyDescent="0.25">
      <c r="N1114" s="74"/>
    </row>
    <row r="1115" spans="14:14" x14ac:dyDescent="0.25">
      <c r="N1115" s="74"/>
    </row>
    <row r="1116" spans="14:14" x14ac:dyDescent="0.25">
      <c r="N1116" s="74"/>
    </row>
    <row r="1117" spans="14:14" x14ac:dyDescent="0.25">
      <c r="N1117" s="74"/>
    </row>
    <row r="1118" spans="14:14" x14ac:dyDescent="0.25">
      <c r="N1118" s="74"/>
    </row>
    <row r="1119" spans="14:14" x14ac:dyDescent="0.25">
      <c r="N1119" s="74"/>
    </row>
    <row r="1120" spans="14:14" x14ac:dyDescent="0.25">
      <c r="N1120" s="74"/>
    </row>
    <row r="1121" spans="14:14" x14ac:dyDescent="0.25">
      <c r="N1121" s="74"/>
    </row>
    <row r="1122" spans="14:14" x14ac:dyDescent="0.25">
      <c r="N1122" s="74"/>
    </row>
    <row r="1123" spans="14:14" x14ac:dyDescent="0.25">
      <c r="N1123" s="74"/>
    </row>
    <row r="1124" spans="14:14" x14ac:dyDescent="0.25">
      <c r="N1124" s="74"/>
    </row>
    <row r="1125" spans="14:14" x14ac:dyDescent="0.25">
      <c r="N1125" s="74"/>
    </row>
    <row r="1126" spans="14:14" x14ac:dyDescent="0.25">
      <c r="N1126" s="74"/>
    </row>
    <row r="1127" spans="14:14" x14ac:dyDescent="0.25">
      <c r="N1127" s="74"/>
    </row>
    <row r="1128" spans="14:14" x14ac:dyDescent="0.25">
      <c r="N1128" s="74"/>
    </row>
    <row r="1129" spans="14:14" x14ac:dyDescent="0.25">
      <c r="N1129" s="74"/>
    </row>
    <row r="1130" spans="14:14" x14ac:dyDescent="0.25">
      <c r="N1130" s="74"/>
    </row>
    <row r="1131" spans="14:14" x14ac:dyDescent="0.25">
      <c r="N1131" s="74"/>
    </row>
    <row r="1132" spans="14:14" x14ac:dyDescent="0.25">
      <c r="N1132" s="74"/>
    </row>
    <row r="1133" spans="14:14" x14ac:dyDescent="0.25">
      <c r="N1133" s="74"/>
    </row>
    <row r="1134" spans="14:14" x14ac:dyDescent="0.25">
      <c r="N1134" s="74"/>
    </row>
    <row r="1135" spans="14:14" x14ac:dyDescent="0.25">
      <c r="N1135" s="74"/>
    </row>
    <row r="1136" spans="14:14" x14ac:dyDescent="0.25">
      <c r="N1136" s="74"/>
    </row>
    <row r="1137" spans="14:14" x14ac:dyDescent="0.25">
      <c r="N1137" s="74"/>
    </row>
    <row r="1138" spans="14:14" x14ac:dyDescent="0.25">
      <c r="N1138" s="74"/>
    </row>
    <row r="1139" spans="14:14" x14ac:dyDescent="0.25">
      <c r="N1139" s="74"/>
    </row>
    <row r="1140" spans="14:14" x14ac:dyDescent="0.25">
      <c r="N1140" s="74"/>
    </row>
    <row r="1141" spans="14:14" x14ac:dyDescent="0.25">
      <c r="N1141" s="74"/>
    </row>
    <row r="1142" spans="14:14" x14ac:dyDescent="0.25">
      <c r="N1142" s="74"/>
    </row>
    <row r="1143" spans="14:14" x14ac:dyDescent="0.25">
      <c r="N1143" s="74"/>
    </row>
    <row r="1144" spans="14:14" x14ac:dyDescent="0.25">
      <c r="N1144" s="74"/>
    </row>
    <row r="1145" spans="14:14" x14ac:dyDescent="0.25">
      <c r="N1145" s="74"/>
    </row>
    <row r="1146" spans="14:14" x14ac:dyDescent="0.25">
      <c r="N1146" s="74"/>
    </row>
    <row r="1147" spans="14:14" x14ac:dyDescent="0.25">
      <c r="N1147" s="74"/>
    </row>
    <row r="1148" spans="14:14" x14ac:dyDescent="0.25">
      <c r="N1148" s="74"/>
    </row>
    <row r="1149" spans="14:14" x14ac:dyDescent="0.25">
      <c r="N1149" s="74"/>
    </row>
    <row r="1150" spans="14:14" x14ac:dyDescent="0.25">
      <c r="N1150" s="74"/>
    </row>
    <row r="1151" spans="14:14" x14ac:dyDescent="0.25">
      <c r="N1151" s="74"/>
    </row>
    <row r="1152" spans="14:14" x14ac:dyDescent="0.25">
      <c r="N1152" s="74"/>
    </row>
    <row r="1153" spans="14:14" x14ac:dyDescent="0.25">
      <c r="N1153" s="74"/>
    </row>
    <row r="1154" spans="14:14" x14ac:dyDescent="0.25">
      <c r="N1154" s="74"/>
    </row>
    <row r="1155" spans="14:14" x14ac:dyDescent="0.25">
      <c r="N1155" s="74"/>
    </row>
    <row r="1156" spans="14:14" x14ac:dyDescent="0.25">
      <c r="N1156" s="74"/>
    </row>
    <row r="1157" spans="14:14" x14ac:dyDescent="0.25">
      <c r="N1157" s="74"/>
    </row>
    <row r="1158" spans="14:14" x14ac:dyDescent="0.25">
      <c r="N1158" s="74"/>
    </row>
    <row r="1159" spans="14:14" x14ac:dyDescent="0.25">
      <c r="N1159" s="74"/>
    </row>
    <row r="1160" spans="14:14" x14ac:dyDescent="0.25">
      <c r="N1160" s="74"/>
    </row>
    <row r="1161" spans="14:14" x14ac:dyDescent="0.25">
      <c r="N1161" s="74"/>
    </row>
    <row r="1162" spans="14:14" x14ac:dyDescent="0.25">
      <c r="N1162" s="74"/>
    </row>
    <row r="1163" spans="14:14" x14ac:dyDescent="0.25">
      <c r="N1163" s="74"/>
    </row>
    <row r="1164" spans="14:14" x14ac:dyDescent="0.25">
      <c r="N1164" s="74"/>
    </row>
    <row r="1165" spans="14:14" x14ac:dyDescent="0.25">
      <c r="N1165" s="74"/>
    </row>
    <row r="1166" spans="14:14" x14ac:dyDescent="0.25">
      <c r="N1166" s="74"/>
    </row>
    <row r="1167" spans="14:14" x14ac:dyDescent="0.25">
      <c r="N1167" s="74"/>
    </row>
    <row r="1168" spans="14:14" x14ac:dyDescent="0.25">
      <c r="N1168" s="74"/>
    </row>
    <row r="1169" spans="14:14" x14ac:dyDescent="0.25">
      <c r="N1169" s="74"/>
    </row>
    <row r="1170" spans="14:14" x14ac:dyDescent="0.25">
      <c r="N1170" s="74"/>
    </row>
    <row r="1171" spans="14:14" x14ac:dyDescent="0.25">
      <c r="N1171" s="74"/>
    </row>
    <row r="1172" spans="14:14" x14ac:dyDescent="0.25">
      <c r="N1172" s="74"/>
    </row>
    <row r="1173" spans="14:14" x14ac:dyDescent="0.25">
      <c r="N1173" s="74"/>
    </row>
    <row r="1174" spans="14:14" x14ac:dyDescent="0.25">
      <c r="N1174" s="74"/>
    </row>
    <row r="1175" spans="14:14" x14ac:dyDescent="0.25">
      <c r="N1175" s="74"/>
    </row>
    <row r="1176" spans="14:14" x14ac:dyDescent="0.25">
      <c r="N1176" s="74"/>
    </row>
    <row r="1177" spans="14:14" x14ac:dyDescent="0.25">
      <c r="N1177" s="74"/>
    </row>
    <row r="1178" spans="14:14" x14ac:dyDescent="0.25">
      <c r="N1178" s="74"/>
    </row>
    <row r="1179" spans="14:14" x14ac:dyDescent="0.25">
      <c r="N1179" s="74"/>
    </row>
    <row r="1180" spans="14:14" x14ac:dyDescent="0.25">
      <c r="N1180" s="74"/>
    </row>
    <row r="1181" spans="14:14" x14ac:dyDescent="0.25">
      <c r="N1181" s="74"/>
    </row>
    <row r="1182" spans="14:14" x14ac:dyDescent="0.25">
      <c r="N1182" s="74"/>
    </row>
    <row r="1183" spans="14:14" x14ac:dyDescent="0.25">
      <c r="N1183" s="74"/>
    </row>
    <row r="1184" spans="14:14" x14ac:dyDescent="0.25">
      <c r="N1184" s="74"/>
    </row>
    <row r="1185" spans="14:14" x14ac:dyDescent="0.25">
      <c r="N1185" s="74"/>
    </row>
    <row r="1186" spans="14:14" x14ac:dyDescent="0.25">
      <c r="N1186" s="74"/>
    </row>
    <row r="1187" spans="14:14" x14ac:dyDescent="0.25">
      <c r="N1187" s="74"/>
    </row>
    <row r="1188" spans="14:14" x14ac:dyDescent="0.25">
      <c r="N1188" s="74"/>
    </row>
    <row r="1189" spans="14:14" x14ac:dyDescent="0.25">
      <c r="N1189" s="74"/>
    </row>
    <row r="1190" spans="14:14" x14ac:dyDescent="0.25">
      <c r="N1190" s="74"/>
    </row>
    <row r="1191" spans="14:14" x14ac:dyDescent="0.25">
      <c r="N1191" s="74"/>
    </row>
    <row r="1192" spans="14:14" x14ac:dyDescent="0.25">
      <c r="N1192" s="74"/>
    </row>
    <row r="1193" spans="14:14" x14ac:dyDescent="0.25">
      <c r="N1193" s="74"/>
    </row>
    <row r="1194" spans="14:14" x14ac:dyDescent="0.25">
      <c r="N1194" s="74"/>
    </row>
    <row r="1195" spans="14:14" x14ac:dyDescent="0.25">
      <c r="N1195" s="74"/>
    </row>
    <row r="1196" spans="14:14" x14ac:dyDescent="0.25">
      <c r="N1196" s="74"/>
    </row>
    <row r="1197" spans="14:14" x14ac:dyDescent="0.25">
      <c r="N1197" s="74"/>
    </row>
    <row r="1198" spans="14:14" x14ac:dyDescent="0.25">
      <c r="N1198" s="74"/>
    </row>
    <row r="1199" spans="14:14" x14ac:dyDescent="0.25">
      <c r="N1199" s="74"/>
    </row>
    <row r="1200" spans="14:14" x14ac:dyDescent="0.25">
      <c r="N1200" s="74"/>
    </row>
    <row r="1201" spans="14:14" x14ac:dyDescent="0.25">
      <c r="N1201" s="74"/>
    </row>
    <row r="1202" spans="14:14" x14ac:dyDescent="0.25">
      <c r="N1202" s="74"/>
    </row>
    <row r="1203" spans="14:14" x14ac:dyDescent="0.25">
      <c r="N1203" s="74"/>
    </row>
    <row r="1204" spans="14:14" x14ac:dyDescent="0.25">
      <c r="N1204" s="74"/>
    </row>
    <row r="1205" spans="14:14" x14ac:dyDescent="0.25">
      <c r="N1205" s="74"/>
    </row>
    <row r="1206" spans="14:14" x14ac:dyDescent="0.25">
      <c r="N1206" s="74"/>
    </row>
    <row r="1207" spans="14:14" x14ac:dyDescent="0.25">
      <c r="N1207" s="74"/>
    </row>
    <row r="1208" spans="14:14" x14ac:dyDescent="0.25">
      <c r="N1208" s="74"/>
    </row>
    <row r="1209" spans="14:14" x14ac:dyDescent="0.25">
      <c r="N1209" s="74"/>
    </row>
    <row r="1210" spans="14:14" x14ac:dyDescent="0.25">
      <c r="N1210" s="74"/>
    </row>
    <row r="1211" spans="14:14" x14ac:dyDescent="0.25">
      <c r="N1211" s="74"/>
    </row>
    <row r="1212" spans="14:14" x14ac:dyDescent="0.25">
      <c r="N1212" s="74"/>
    </row>
    <row r="1213" spans="14:14" x14ac:dyDescent="0.25">
      <c r="N1213" s="74"/>
    </row>
    <row r="1214" spans="14:14" x14ac:dyDescent="0.25">
      <c r="N1214" s="74"/>
    </row>
    <row r="1215" spans="14:14" x14ac:dyDescent="0.25">
      <c r="N1215" s="74"/>
    </row>
    <row r="1216" spans="14:14" x14ac:dyDescent="0.25">
      <c r="N1216" s="74"/>
    </row>
    <row r="1217" spans="14:14" x14ac:dyDescent="0.25">
      <c r="N1217" s="74"/>
    </row>
    <row r="1218" spans="14:14" x14ac:dyDescent="0.25">
      <c r="N1218" s="74"/>
    </row>
    <row r="1219" spans="14:14" x14ac:dyDescent="0.25">
      <c r="N1219" s="74"/>
    </row>
    <row r="1220" spans="14:14" x14ac:dyDescent="0.25">
      <c r="N1220" s="74"/>
    </row>
    <row r="1221" spans="14:14" x14ac:dyDescent="0.25">
      <c r="N1221" s="74"/>
    </row>
    <row r="1222" spans="14:14" x14ac:dyDescent="0.25">
      <c r="N1222" s="74"/>
    </row>
    <row r="1223" spans="14:14" x14ac:dyDescent="0.25">
      <c r="N1223" s="74"/>
    </row>
    <row r="1224" spans="14:14" x14ac:dyDescent="0.25">
      <c r="N1224" s="74"/>
    </row>
    <row r="1225" spans="14:14" x14ac:dyDescent="0.25">
      <c r="N1225" s="74"/>
    </row>
    <row r="1226" spans="14:14" x14ac:dyDescent="0.25">
      <c r="N1226" s="74"/>
    </row>
    <row r="1227" spans="14:14" x14ac:dyDescent="0.25">
      <c r="N1227" s="74"/>
    </row>
    <row r="1228" spans="14:14" x14ac:dyDescent="0.25">
      <c r="N1228" s="74"/>
    </row>
    <row r="1229" spans="14:14" x14ac:dyDescent="0.25">
      <c r="N1229" s="74"/>
    </row>
    <row r="1230" spans="14:14" x14ac:dyDescent="0.25">
      <c r="N1230" s="74"/>
    </row>
    <row r="1231" spans="14:14" x14ac:dyDescent="0.25">
      <c r="N1231" s="74"/>
    </row>
    <row r="1232" spans="14:14" x14ac:dyDescent="0.25">
      <c r="N1232" s="74"/>
    </row>
    <row r="1233" spans="14:14" x14ac:dyDescent="0.25">
      <c r="N1233" s="74"/>
    </row>
    <row r="1234" spans="14:14" x14ac:dyDescent="0.25">
      <c r="N1234" s="74"/>
    </row>
    <row r="1235" spans="14:14" x14ac:dyDescent="0.25">
      <c r="N1235" s="74"/>
    </row>
    <row r="1236" spans="14:14" x14ac:dyDescent="0.25">
      <c r="N1236" s="74"/>
    </row>
    <row r="1237" spans="14:14" x14ac:dyDescent="0.25">
      <c r="N1237" s="74"/>
    </row>
    <row r="1238" spans="14:14" x14ac:dyDescent="0.25">
      <c r="N1238" s="74"/>
    </row>
    <row r="1239" spans="14:14" x14ac:dyDescent="0.25">
      <c r="N1239" s="74"/>
    </row>
    <row r="1240" spans="14:14" x14ac:dyDescent="0.25">
      <c r="N1240" s="74"/>
    </row>
    <row r="1241" spans="14:14" x14ac:dyDescent="0.25">
      <c r="N1241" s="74"/>
    </row>
    <row r="1242" spans="14:14" x14ac:dyDescent="0.25">
      <c r="N1242" s="74"/>
    </row>
    <row r="1243" spans="14:14" x14ac:dyDescent="0.25">
      <c r="N1243" s="74"/>
    </row>
    <row r="1244" spans="14:14" x14ac:dyDescent="0.25">
      <c r="N1244" s="74"/>
    </row>
    <row r="1245" spans="14:14" x14ac:dyDescent="0.25">
      <c r="N1245" s="74"/>
    </row>
    <row r="1246" spans="14:14" x14ac:dyDescent="0.25">
      <c r="N1246" s="74"/>
    </row>
    <row r="1247" spans="14:14" x14ac:dyDescent="0.25">
      <c r="N1247" s="74"/>
    </row>
    <row r="1248" spans="14:14" x14ac:dyDescent="0.25">
      <c r="N1248" s="74"/>
    </row>
    <row r="1249" spans="14:14" x14ac:dyDescent="0.25">
      <c r="N1249" s="74"/>
    </row>
    <row r="1250" spans="14:14" x14ac:dyDescent="0.25">
      <c r="N1250" s="74"/>
    </row>
    <row r="1251" spans="14:14" x14ac:dyDescent="0.25">
      <c r="N1251" s="74"/>
    </row>
    <row r="1252" spans="14:14" x14ac:dyDescent="0.25">
      <c r="N1252" s="74"/>
    </row>
    <row r="1253" spans="14:14" x14ac:dyDescent="0.25">
      <c r="N1253" s="74"/>
    </row>
    <row r="1254" spans="14:14" x14ac:dyDescent="0.25">
      <c r="N1254" s="74"/>
    </row>
    <row r="1255" spans="14:14" x14ac:dyDescent="0.25">
      <c r="N1255" s="74"/>
    </row>
    <row r="1256" spans="14:14" x14ac:dyDescent="0.25">
      <c r="N1256" s="74"/>
    </row>
    <row r="1257" spans="14:14" x14ac:dyDescent="0.25">
      <c r="N1257" s="74"/>
    </row>
    <row r="1258" spans="14:14" x14ac:dyDescent="0.25">
      <c r="N1258" s="74"/>
    </row>
    <row r="1259" spans="14:14" x14ac:dyDescent="0.25">
      <c r="N1259" s="74"/>
    </row>
    <row r="1260" spans="14:14" x14ac:dyDescent="0.25">
      <c r="N1260" s="74"/>
    </row>
    <row r="1261" spans="14:14" x14ac:dyDescent="0.25">
      <c r="N1261" s="74"/>
    </row>
    <row r="1262" spans="14:14" x14ac:dyDescent="0.25">
      <c r="N1262" s="74"/>
    </row>
    <row r="1263" spans="14:14" x14ac:dyDescent="0.25">
      <c r="N1263" s="74"/>
    </row>
    <row r="1264" spans="14:14" x14ac:dyDescent="0.25">
      <c r="N1264" s="74"/>
    </row>
    <row r="1265" spans="14:14" x14ac:dyDescent="0.25">
      <c r="N1265" s="74"/>
    </row>
    <row r="1266" spans="14:14" x14ac:dyDescent="0.25">
      <c r="N1266" s="74"/>
    </row>
    <row r="1267" spans="14:14" x14ac:dyDescent="0.25">
      <c r="N1267" s="74"/>
    </row>
    <row r="1268" spans="14:14" x14ac:dyDescent="0.25">
      <c r="N1268" s="74"/>
    </row>
    <row r="1269" spans="14:14" x14ac:dyDescent="0.25">
      <c r="N1269" s="74"/>
    </row>
    <row r="1270" spans="14:14" x14ac:dyDescent="0.25">
      <c r="N1270" s="74"/>
    </row>
    <row r="1271" spans="14:14" x14ac:dyDescent="0.25">
      <c r="N1271" s="74"/>
    </row>
    <row r="1272" spans="14:14" x14ac:dyDescent="0.25">
      <c r="N1272" s="74"/>
    </row>
    <row r="1273" spans="14:14" x14ac:dyDescent="0.25">
      <c r="N1273" s="74"/>
    </row>
    <row r="1274" spans="14:14" x14ac:dyDescent="0.25">
      <c r="N1274" s="74"/>
    </row>
    <row r="1275" spans="14:14" x14ac:dyDescent="0.25">
      <c r="N1275" s="74"/>
    </row>
    <row r="1276" spans="14:14" x14ac:dyDescent="0.25">
      <c r="N1276" s="74"/>
    </row>
    <row r="1277" spans="14:14" x14ac:dyDescent="0.25">
      <c r="N1277" s="74"/>
    </row>
    <row r="1278" spans="14:14" x14ac:dyDescent="0.25">
      <c r="N1278" s="74"/>
    </row>
    <row r="1279" spans="14:14" x14ac:dyDescent="0.25">
      <c r="N1279" s="74"/>
    </row>
    <row r="1280" spans="14:14" x14ac:dyDescent="0.25">
      <c r="N1280" s="74"/>
    </row>
    <row r="1281" spans="14:14" x14ac:dyDescent="0.25">
      <c r="N1281" s="74"/>
    </row>
    <row r="1282" spans="14:14" x14ac:dyDescent="0.25">
      <c r="N1282" s="74"/>
    </row>
    <row r="1283" spans="14:14" x14ac:dyDescent="0.25">
      <c r="N1283" s="74"/>
    </row>
    <row r="1284" spans="14:14" x14ac:dyDescent="0.25">
      <c r="N1284" s="74"/>
    </row>
    <row r="1285" spans="14:14" x14ac:dyDescent="0.25">
      <c r="N1285" s="74"/>
    </row>
    <row r="1286" spans="14:14" x14ac:dyDescent="0.25">
      <c r="N1286" s="74"/>
    </row>
    <row r="1287" spans="14:14" x14ac:dyDescent="0.25">
      <c r="N1287" s="74"/>
    </row>
    <row r="1288" spans="14:14" x14ac:dyDescent="0.25">
      <c r="N1288" s="74"/>
    </row>
    <row r="1289" spans="14:14" x14ac:dyDescent="0.25">
      <c r="N1289" s="74"/>
    </row>
    <row r="1290" spans="14:14" x14ac:dyDescent="0.25">
      <c r="N1290" s="74"/>
    </row>
    <row r="1291" spans="14:14" x14ac:dyDescent="0.25">
      <c r="N1291" s="74"/>
    </row>
    <row r="1292" spans="14:14" x14ac:dyDescent="0.25">
      <c r="N1292" s="74"/>
    </row>
    <row r="1293" spans="14:14" x14ac:dyDescent="0.25">
      <c r="N1293" s="74"/>
    </row>
    <row r="1294" spans="14:14" x14ac:dyDescent="0.25">
      <c r="N1294" s="74"/>
    </row>
    <row r="1295" spans="14:14" x14ac:dyDescent="0.25">
      <c r="N1295" s="74"/>
    </row>
    <row r="1296" spans="14:14" x14ac:dyDescent="0.25">
      <c r="N1296" s="74"/>
    </row>
    <row r="1297" spans="14:14" x14ac:dyDescent="0.25">
      <c r="N1297" s="74"/>
    </row>
    <row r="1298" spans="14:14" x14ac:dyDescent="0.25">
      <c r="N1298" s="74"/>
    </row>
    <row r="1299" spans="14:14" x14ac:dyDescent="0.25">
      <c r="N1299" s="74"/>
    </row>
    <row r="1300" spans="14:14" x14ac:dyDescent="0.25">
      <c r="N1300" s="74"/>
    </row>
    <row r="1301" spans="14:14" x14ac:dyDescent="0.25">
      <c r="N1301" s="74"/>
    </row>
    <row r="1302" spans="14:14" x14ac:dyDescent="0.25">
      <c r="N1302" s="74"/>
    </row>
    <row r="1303" spans="14:14" x14ac:dyDescent="0.25">
      <c r="N1303" s="74"/>
    </row>
    <row r="1304" spans="14:14" x14ac:dyDescent="0.25">
      <c r="N1304" s="74"/>
    </row>
    <row r="1305" spans="14:14" x14ac:dyDescent="0.25">
      <c r="N1305" s="74"/>
    </row>
    <row r="1306" spans="14:14" x14ac:dyDescent="0.25">
      <c r="N1306" s="74"/>
    </row>
    <row r="1307" spans="14:14" x14ac:dyDescent="0.25">
      <c r="N1307" s="74"/>
    </row>
    <row r="1308" spans="14:14" x14ac:dyDescent="0.25">
      <c r="N1308" s="74"/>
    </row>
    <row r="1309" spans="14:14" x14ac:dyDescent="0.25">
      <c r="N1309" s="74"/>
    </row>
    <row r="1310" spans="14:14" x14ac:dyDescent="0.25">
      <c r="N1310" s="74"/>
    </row>
    <row r="1311" spans="14:14" x14ac:dyDescent="0.25">
      <c r="N1311" s="74"/>
    </row>
    <row r="1312" spans="14:14" x14ac:dyDescent="0.25">
      <c r="N1312" s="74"/>
    </row>
    <row r="1313" spans="14:14" x14ac:dyDescent="0.25">
      <c r="N1313" s="74"/>
    </row>
    <row r="1314" spans="14:14" x14ac:dyDescent="0.25">
      <c r="N1314" s="74"/>
    </row>
    <row r="1315" spans="14:14" x14ac:dyDescent="0.25">
      <c r="N1315" s="74"/>
    </row>
    <row r="1316" spans="14:14" x14ac:dyDescent="0.25">
      <c r="N1316" s="74"/>
    </row>
    <row r="1317" spans="14:14" x14ac:dyDescent="0.25">
      <c r="N1317" s="74"/>
    </row>
    <row r="1318" spans="14:14" x14ac:dyDescent="0.25">
      <c r="N1318" s="74"/>
    </row>
    <row r="1319" spans="14:14" x14ac:dyDescent="0.25">
      <c r="N1319" s="74"/>
    </row>
    <row r="1320" spans="14:14" x14ac:dyDescent="0.25">
      <c r="N1320" s="74"/>
    </row>
    <row r="1321" spans="14:14" x14ac:dyDescent="0.25">
      <c r="N1321" s="74"/>
    </row>
    <row r="1322" spans="14:14" x14ac:dyDescent="0.25">
      <c r="N1322" s="74"/>
    </row>
    <row r="1323" spans="14:14" x14ac:dyDescent="0.25">
      <c r="N1323" s="74"/>
    </row>
    <row r="1324" spans="14:14" x14ac:dyDescent="0.25">
      <c r="N1324" s="74"/>
    </row>
    <row r="1325" spans="14:14" x14ac:dyDescent="0.25">
      <c r="N1325" s="74"/>
    </row>
    <row r="1326" spans="14:14" x14ac:dyDescent="0.25">
      <c r="N1326" s="74"/>
    </row>
    <row r="1327" spans="14:14" x14ac:dyDescent="0.25">
      <c r="N1327" s="74"/>
    </row>
    <row r="1328" spans="14:14" x14ac:dyDescent="0.25">
      <c r="N1328" s="74"/>
    </row>
    <row r="1329" spans="14:14" x14ac:dyDescent="0.25">
      <c r="N1329" s="74"/>
    </row>
    <row r="1330" spans="14:14" x14ac:dyDescent="0.25">
      <c r="N1330" s="74"/>
    </row>
    <row r="1331" spans="14:14" x14ac:dyDescent="0.25">
      <c r="N1331" s="74"/>
    </row>
    <row r="1332" spans="14:14" x14ac:dyDescent="0.25">
      <c r="N1332" s="74"/>
    </row>
    <row r="1333" spans="14:14" x14ac:dyDescent="0.25">
      <c r="N1333" s="74"/>
    </row>
    <row r="1334" spans="14:14" x14ac:dyDescent="0.25">
      <c r="N1334" s="74"/>
    </row>
    <row r="1335" spans="14:14" x14ac:dyDescent="0.25">
      <c r="N1335" s="74"/>
    </row>
    <row r="1336" spans="14:14" x14ac:dyDescent="0.25">
      <c r="N1336" s="74"/>
    </row>
    <row r="1337" spans="14:14" x14ac:dyDescent="0.25">
      <c r="N1337" s="74"/>
    </row>
    <row r="1338" spans="14:14" x14ac:dyDescent="0.25">
      <c r="N1338" s="74"/>
    </row>
    <row r="1339" spans="14:14" x14ac:dyDescent="0.25">
      <c r="N1339" s="74"/>
    </row>
    <row r="1340" spans="14:14" x14ac:dyDescent="0.25">
      <c r="N1340" s="74"/>
    </row>
    <row r="1341" spans="14:14" x14ac:dyDescent="0.25">
      <c r="N1341" s="74"/>
    </row>
    <row r="1342" spans="14:14" x14ac:dyDescent="0.25">
      <c r="N1342" s="74"/>
    </row>
    <row r="1343" spans="14:14" x14ac:dyDescent="0.25">
      <c r="N1343" s="74"/>
    </row>
    <row r="1344" spans="14:14" x14ac:dyDescent="0.25">
      <c r="N1344" s="74"/>
    </row>
    <row r="1345" spans="14:14" x14ac:dyDescent="0.25">
      <c r="N1345" s="74"/>
    </row>
    <row r="1346" spans="14:14" x14ac:dyDescent="0.25">
      <c r="N1346" s="74"/>
    </row>
    <row r="1347" spans="14:14" x14ac:dyDescent="0.25">
      <c r="N1347" s="74"/>
    </row>
    <row r="1348" spans="14:14" x14ac:dyDescent="0.25">
      <c r="N1348" s="74"/>
    </row>
    <row r="1349" spans="14:14" x14ac:dyDescent="0.25">
      <c r="N1349" s="74"/>
    </row>
    <row r="1350" spans="14:14" x14ac:dyDescent="0.25">
      <c r="N1350" s="74"/>
    </row>
    <row r="1351" spans="14:14" x14ac:dyDescent="0.25">
      <c r="N1351" s="74"/>
    </row>
    <row r="1352" spans="14:14" x14ac:dyDescent="0.25">
      <c r="N1352" s="74"/>
    </row>
    <row r="1353" spans="14:14" x14ac:dyDescent="0.25">
      <c r="N1353" s="74"/>
    </row>
    <row r="1354" spans="14:14" x14ac:dyDescent="0.25">
      <c r="N1354" s="74"/>
    </row>
    <row r="1355" spans="14:14" x14ac:dyDescent="0.25">
      <c r="N1355" s="74"/>
    </row>
    <row r="1356" spans="14:14" x14ac:dyDescent="0.25">
      <c r="N1356" s="74"/>
    </row>
    <row r="1357" spans="14:14" x14ac:dyDescent="0.25">
      <c r="N1357" s="74"/>
    </row>
    <row r="1358" spans="14:14" x14ac:dyDescent="0.25">
      <c r="N1358" s="74"/>
    </row>
    <row r="1359" spans="14:14" x14ac:dyDescent="0.25">
      <c r="N1359" s="74"/>
    </row>
    <row r="1360" spans="14:14" x14ac:dyDescent="0.25">
      <c r="N1360" s="74"/>
    </row>
    <row r="1361" spans="14:14" x14ac:dyDescent="0.25">
      <c r="N1361" s="74"/>
    </row>
    <row r="1362" spans="14:14" x14ac:dyDescent="0.25">
      <c r="N1362" s="74"/>
    </row>
    <row r="1363" spans="14:14" x14ac:dyDescent="0.25">
      <c r="N1363" s="74"/>
    </row>
    <row r="1364" spans="14:14" x14ac:dyDescent="0.25">
      <c r="N1364" s="74"/>
    </row>
    <row r="1365" spans="14:14" x14ac:dyDescent="0.25">
      <c r="N1365" s="74"/>
    </row>
    <row r="1366" spans="14:14" x14ac:dyDescent="0.25">
      <c r="N1366" s="74"/>
    </row>
    <row r="1367" spans="14:14" x14ac:dyDescent="0.25">
      <c r="N1367" s="74"/>
    </row>
    <row r="1368" spans="14:14" x14ac:dyDescent="0.25">
      <c r="N1368" s="74"/>
    </row>
    <row r="1369" spans="14:14" x14ac:dyDescent="0.25">
      <c r="N1369" s="74"/>
    </row>
    <row r="1370" spans="14:14" x14ac:dyDescent="0.25">
      <c r="N1370" s="74"/>
    </row>
    <row r="1371" spans="14:14" x14ac:dyDescent="0.25">
      <c r="N1371" s="74"/>
    </row>
    <row r="1372" spans="14:14" x14ac:dyDescent="0.25">
      <c r="N1372" s="74"/>
    </row>
    <row r="1373" spans="14:14" x14ac:dyDescent="0.25">
      <c r="N1373" s="74"/>
    </row>
    <row r="1374" spans="14:14" x14ac:dyDescent="0.25">
      <c r="N1374" s="74"/>
    </row>
    <row r="1375" spans="14:14" x14ac:dyDescent="0.25">
      <c r="N1375" s="74"/>
    </row>
    <row r="1376" spans="14:14" x14ac:dyDescent="0.25">
      <c r="N1376" s="74"/>
    </row>
    <row r="1377" spans="14:14" x14ac:dyDescent="0.25">
      <c r="N1377" s="74"/>
    </row>
    <row r="1378" spans="14:14" x14ac:dyDescent="0.25">
      <c r="N1378" s="74"/>
    </row>
    <row r="1379" spans="14:14" x14ac:dyDescent="0.25">
      <c r="N1379" s="74"/>
    </row>
    <row r="1380" spans="14:14" x14ac:dyDescent="0.25">
      <c r="N1380" s="74"/>
    </row>
    <row r="1381" spans="14:14" x14ac:dyDescent="0.25">
      <c r="N1381" s="74"/>
    </row>
    <row r="1382" spans="14:14" x14ac:dyDescent="0.25">
      <c r="N1382" s="74"/>
    </row>
    <row r="1383" spans="14:14" x14ac:dyDescent="0.25">
      <c r="N1383" s="74"/>
    </row>
    <row r="1384" spans="14:14" x14ac:dyDescent="0.25">
      <c r="N1384" s="74"/>
    </row>
    <row r="1385" spans="14:14" x14ac:dyDescent="0.25">
      <c r="N1385" s="74"/>
    </row>
    <row r="1386" spans="14:14" x14ac:dyDescent="0.25">
      <c r="N1386" s="74"/>
    </row>
    <row r="1387" spans="14:14" x14ac:dyDescent="0.25">
      <c r="N1387" s="74"/>
    </row>
    <row r="1388" spans="14:14" x14ac:dyDescent="0.25">
      <c r="N1388" s="74"/>
    </row>
    <row r="1389" spans="14:14" x14ac:dyDescent="0.25">
      <c r="N1389" s="74"/>
    </row>
    <row r="1390" spans="14:14" x14ac:dyDescent="0.25">
      <c r="N1390" s="74"/>
    </row>
    <row r="1391" spans="14:14" x14ac:dyDescent="0.25">
      <c r="N1391" s="74"/>
    </row>
    <row r="1392" spans="14:14" x14ac:dyDescent="0.25">
      <c r="N1392" s="74"/>
    </row>
    <row r="1393" spans="14:14" x14ac:dyDescent="0.25">
      <c r="N1393" s="74"/>
    </row>
    <row r="1394" spans="14:14" x14ac:dyDescent="0.25">
      <c r="N1394" s="74"/>
    </row>
    <row r="1395" spans="14:14" x14ac:dyDescent="0.25">
      <c r="N1395" s="74"/>
    </row>
    <row r="1396" spans="14:14" x14ac:dyDescent="0.25">
      <c r="N1396" s="74"/>
    </row>
    <row r="1397" spans="14:14" x14ac:dyDescent="0.25">
      <c r="N1397" s="74"/>
    </row>
    <row r="1398" spans="14:14" x14ac:dyDescent="0.25">
      <c r="N1398" s="74"/>
    </row>
    <row r="1399" spans="14:14" x14ac:dyDescent="0.25">
      <c r="N1399" s="74"/>
    </row>
    <row r="1400" spans="14:14" x14ac:dyDescent="0.25">
      <c r="N1400" s="74"/>
    </row>
    <row r="1401" spans="14:14" x14ac:dyDescent="0.25">
      <c r="N1401" s="74"/>
    </row>
    <row r="1402" spans="14:14" x14ac:dyDescent="0.25">
      <c r="N1402" s="74"/>
    </row>
    <row r="1403" spans="14:14" x14ac:dyDescent="0.25">
      <c r="N1403" s="74"/>
    </row>
    <row r="1404" spans="14:14" x14ac:dyDescent="0.25">
      <c r="N1404" s="74"/>
    </row>
    <row r="1405" spans="14:14" x14ac:dyDescent="0.25">
      <c r="N1405" s="74"/>
    </row>
    <row r="1406" spans="14:14" x14ac:dyDescent="0.25">
      <c r="N1406" s="74"/>
    </row>
    <row r="1407" spans="14:14" x14ac:dyDescent="0.25">
      <c r="N1407" s="74"/>
    </row>
    <row r="1408" spans="14:14" x14ac:dyDescent="0.25">
      <c r="N1408" s="74"/>
    </row>
    <row r="1409" spans="14:14" x14ac:dyDescent="0.25">
      <c r="N1409" s="74"/>
    </row>
    <row r="1410" spans="14:14" x14ac:dyDescent="0.25">
      <c r="N1410" s="74"/>
    </row>
    <row r="1411" spans="14:14" x14ac:dyDescent="0.25">
      <c r="N1411" s="74"/>
    </row>
    <row r="1412" spans="14:14" x14ac:dyDescent="0.25">
      <c r="N1412" s="74"/>
    </row>
    <row r="1413" spans="14:14" x14ac:dyDescent="0.25">
      <c r="N1413" s="74"/>
    </row>
    <row r="1414" spans="14:14" x14ac:dyDescent="0.25">
      <c r="N1414" s="74"/>
    </row>
    <row r="1415" spans="14:14" x14ac:dyDescent="0.25">
      <c r="N1415" s="74"/>
    </row>
    <row r="1416" spans="14:14" x14ac:dyDescent="0.25">
      <c r="N1416" s="74"/>
    </row>
    <row r="1417" spans="14:14" x14ac:dyDescent="0.25">
      <c r="N1417" s="74"/>
    </row>
    <row r="1418" spans="14:14" x14ac:dyDescent="0.25">
      <c r="N1418" s="74"/>
    </row>
    <row r="1419" spans="14:14" x14ac:dyDescent="0.25">
      <c r="N1419" s="74"/>
    </row>
    <row r="1420" spans="14:14" x14ac:dyDescent="0.25">
      <c r="N1420" s="74"/>
    </row>
    <row r="1421" spans="14:14" x14ac:dyDescent="0.25">
      <c r="N1421" s="74"/>
    </row>
    <row r="1422" spans="14:14" x14ac:dyDescent="0.25">
      <c r="N1422" s="74"/>
    </row>
    <row r="1423" spans="14:14" x14ac:dyDescent="0.25">
      <c r="N1423" s="74"/>
    </row>
    <row r="1424" spans="14:14" x14ac:dyDescent="0.25">
      <c r="N1424" s="74"/>
    </row>
    <row r="1425" spans="14:14" x14ac:dyDescent="0.25">
      <c r="N1425" s="74"/>
    </row>
    <row r="1426" spans="14:14" x14ac:dyDescent="0.25">
      <c r="N1426" s="74"/>
    </row>
    <row r="1427" spans="14:14" x14ac:dyDescent="0.25">
      <c r="N1427" s="74"/>
    </row>
    <row r="1428" spans="14:14" x14ac:dyDescent="0.25">
      <c r="N1428" s="74"/>
    </row>
    <row r="1429" spans="14:14" x14ac:dyDescent="0.25">
      <c r="N1429" s="74"/>
    </row>
    <row r="1430" spans="14:14" x14ac:dyDescent="0.25">
      <c r="N1430" s="74"/>
    </row>
    <row r="1431" spans="14:14" x14ac:dyDescent="0.25">
      <c r="N1431" s="74"/>
    </row>
    <row r="1432" spans="14:14" x14ac:dyDescent="0.25">
      <c r="N1432" s="74"/>
    </row>
    <row r="1433" spans="14:14" x14ac:dyDescent="0.25">
      <c r="N1433" s="74"/>
    </row>
    <row r="1434" spans="14:14" x14ac:dyDescent="0.25">
      <c r="N1434" s="74"/>
    </row>
    <row r="1435" spans="14:14" x14ac:dyDescent="0.25">
      <c r="N1435" s="74"/>
    </row>
    <row r="1436" spans="14:14" x14ac:dyDescent="0.25">
      <c r="N1436" s="74"/>
    </row>
    <row r="1437" spans="14:14" x14ac:dyDescent="0.25">
      <c r="N1437" s="74"/>
    </row>
    <row r="1438" spans="14:14" x14ac:dyDescent="0.25">
      <c r="N1438" s="74"/>
    </row>
    <row r="1439" spans="14:14" x14ac:dyDescent="0.25">
      <c r="N1439" s="74"/>
    </row>
    <row r="1440" spans="14:14" x14ac:dyDescent="0.25">
      <c r="N1440" s="74"/>
    </row>
    <row r="1441" spans="14:14" x14ac:dyDescent="0.25">
      <c r="N1441" s="74"/>
    </row>
    <row r="1442" spans="14:14" x14ac:dyDescent="0.25">
      <c r="N1442" s="74"/>
    </row>
    <row r="1443" spans="14:14" x14ac:dyDescent="0.25">
      <c r="N1443" s="74"/>
    </row>
    <row r="1444" spans="14:14" x14ac:dyDescent="0.25">
      <c r="N1444" s="74"/>
    </row>
    <row r="1445" spans="14:14" x14ac:dyDescent="0.25">
      <c r="N1445" s="74"/>
    </row>
    <row r="1446" spans="14:14" x14ac:dyDescent="0.25">
      <c r="N1446" s="74"/>
    </row>
    <row r="1447" spans="14:14" x14ac:dyDescent="0.25">
      <c r="N1447" s="74"/>
    </row>
    <row r="1448" spans="14:14" x14ac:dyDescent="0.25">
      <c r="N1448" s="74"/>
    </row>
    <row r="1449" spans="14:14" x14ac:dyDescent="0.25">
      <c r="N1449" s="74"/>
    </row>
    <row r="1450" spans="14:14" x14ac:dyDescent="0.25">
      <c r="N1450" s="74"/>
    </row>
    <row r="1451" spans="14:14" x14ac:dyDescent="0.25">
      <c r="N1451" s="74"/>
    </row>
    <row r="1452" spans="14:14" x14ac:dyDescent="0.25">
      <c r="N1452" s="74"/>
    </row>
    <row r="1453" spans="14:14" x14ac:dyDescent="0.25">
      <c r="N1453" s="74"/>
    </row>
    <row r="1454" spans="14:14" x14ac:dyDescent="0.25">
      <c r="N1454" s="74"/>
    </row>
    <row r="1455" spans="14:14" x14ac:dyDescent="0.25">
      <c r="N1455" s="74"/>
    </row>
    <row r="1456" spans="14:14" x14ac:dyDescent="0.25">
      <c r="N1456" s="74"/>
    </row>
    <row r="1457" spans="14:14" x14ac:dyDescent="0.25">
      <c r="N1457" s="74"/>
    </row>
    <row r="1458" spans="14:14" x14ac:dyDescent="0.25">
      <c r="N1458" s="74"/>
    </row>
    <row r="1459" spans="14:14" x14ac:dyDescent="0.25">
      <c r="N1459" s="74"/>
    </row>
    <row r="1460" spans="14:14" x14ac:dyDescent="0.25">
      <c r="N1460" s="74"/>
    </row>
    <row r="1461" spans="14:14" x14ac:dyDescent="0.25">
      <c r="N1461" s="74"/>
    </row>
    <row r="1462" spans="14:14" x14ac:dyDescent="0.25">
      <c r="N1462" s="74"/>
    </row>
    <row r="1463" spans="14:14" x14ac:dyDescent="0.25">
      <c r="N1463" s="74"/>
    </row>
    <row r="1464" spans="14:14" x14ac:dyDescent="0.25">
      <c r="N1464" s="74"/>
    </row>
    <row r="1465" spans="14:14" x14ac:dyDescent="0.25">
      <c r="N1465" s="74"/>
    </row>
    <row r="1466" spans="14:14" x14ac:dyDescent="0.25">
      <c r="N1466" s="74"/>
    </row>
    <row r="1467" spans="14:14" x14ac:dyDescent="0.25">
      <c r="N1467" s="74"/>
    </row>
    <row r="1468" spans="14:14" x14ac:dyDescent="0.25">
      <c r="N1468" s="74"/>
    </row>
    <row r="1469" spans="14:14" x14ac:dyDescent="0.25">
      <c r="N1469" s="74"/>
    </row>
    <row r="1470" spans="14:14" x14ac:dyDescent="0.25">
      <c r="N1470" s="74"/>
    </row>
    <row r="1471" spans="14:14" x14ac:dyDescent="0.25">
      <c r="N1471" s="74"/>
    </row>
    <row r="1472" spans="14:14" x14ac:dyDescent="0.25">
      <c r="N1472" s="74"/>
    </row>
    <row r="1473" spans="14:14" x14ac:dyDescent="0.25">
      <c r="N1473" s="74"/>
    </row>
    <row r="1474" spans="14:14" x14ac:dyDescent="0.25">
      <c r="N1474" s="74"/>
    </row>
    <row r="1475" spans="14:14" x14ac:dyDescent="0.25">
      <c r="N1475" s="74"/>
    </row>
    <row r="1476" spans="14:14" x14ac:dyDescent="0.25">
      <c r="N1476" s="74"/>
    </row>
    <row r="1477" spans="14:14" x14ac:dyDescent="0.25">
      <c r="N1477" s="74"/>
    </row>
    <row r="1478" spans="14:14" x14ac:dyDescent="0.25">
      <c r="N1478" s="74"/>
    </row>
    <row r="1479" spans="14:14" x14ac:dyDescent="0.25">
      <c r="N1479" s="74"/>
    </row>
    <row r="1480" spans="14:14" x14ac:dyDescent="0.25">
      <c r="N1480" s="74"/>
    </row>
    <row r="1481" spans="14:14" x14ac:dyDescent="0.25">
      <c r="N1481" s="74"/>
    </row>
    <row r="1482" spans="14:14" x14ac:dyDescent="0.25">
      <c r="N1482" s="74"/>
    </row>
    <row r="1483" spans="14:14" x14ac:dyDescent="0.25">
      <c r="N1483" s="74"/>
    </row>
    <row r="1484" spans="14:14" x14ac:dyDescent="0.25">
      <c r="N1484" s="74"/>
    </row>
    <row r="1485" spans="14:14" x14ac:dyDescent="0.25">
      <c r="N1485" s="74"/>
    </row>
    <row r="1486" spans="14:14" x14ac:dyDescent="0.25">
      <c r="N1486" s="74"/>
    </row>
    <row r="1487" spans="14:14" x14ac:dyDescent="0.25">
      <c r="N1487" s="74"/>
    </row>
    <row r="1488" spans="14:14" x14ac:dyDescent="0.25">
      <c r="N1488" s="74"/>
    </row>
    <row r="1489" spans="14:14" x14ac:dyDescent="0.25">
      <c r="N1489" s="74"/>
    </row>
    <row r="1490" spans="14:14" x14ac:dyDescent="0.25">
      <c r="N1490" s="74"/>
    </row>
    <row r="1491" spans="14:14" x14ac:dyDescent="0.25">
      <c r="N1491" s="74"/>
    </row>
    <row r="1492" spans="14:14" x14ac:dyDescent="0.25">
      <c r="N1492" s="74"/>
    </row>
    <row r="1493" spans="14:14" x14ac:dyDescent="0.25">
      <c r="N1493" s="74"/>
    </row>
    <row r="1494" spans="14:14" x14ac:dyDescent="0.25">
      <c r="N1494" s="74"/>
    </row>
    <row r="1495" spans="14:14" x14ac:dyDescent="0.25">
      <c r="N1495" s="74"/>
    </row>
    <row r="1496" spans="14:14" x14ac:dyDescent="0.25">
      <c r="N1496" s="74"/>
    </row>
    <row r="1497" spans="14:14" x14ac:dyDescent="0.25">
      <c r="N1497" s="74"/>
    </row>
    <row r="1498" spans="14:14" x14ac:dyDescent="0.25">
      <c r="N1498" s="74"/>
    </row>
    <row r="1499" spans="14:14" x14ac:dyDescent="0.25">
      <c r="N1499" s="74"/>
    </row>
    <row r="1500" spans="14:14" x14ac:dyDescent="0.25">
      <c r="N1500" s="74"/>
    </row>
    <row r="1501" spans="14:14" x14ac:dyDescent="0.25">
      <c r="N1501" s="74"/>
    </row>
    <row r="1502" spans="14:14" x14ac:dyDescent="0.25">
      <c r="N1502" s="74"/>
    </row>
    <row r="1503" spans="14:14" x14ac:dyDescent="0.25">
      <c r="N1503" s="74"/>
    </row>
    <row r="1504" spans="14:14" x14ac:dyDescent="0.25">
      <c r="N1504" s="74"/>
    </row>
    <row r="1505" spans="14:14" x14ac:dyDescent="0.25">
      <c r="N1505" s="74"/>
    </row>
    <row r="1506" spans="14:14" x14ac:dyDescent="0.25">
      <c r="N1506" s="74"/>
    </row>
    <row r="1507" spans="14:14" x14ac:dyDescent="0.25">
      <c r="N1507" s="74"/>
    </row>
    <row r="1508" spans="14:14" x14ac:dyDescent="0.25">
      <c r="N1508" s="74"/>
    </row>
    <row r="1509" spans="14:14" x14ac:dyDescent="0.25">
      <c r="N1509" s="74"/>
    </row>
    <row r="1510" spans="14:14" x14ac:dyDescent="0.25">
      <c r="N1510" s="74"/>
    </row>
    <row r="1511" spans="14:14" x14ac:dyDescent="0.25">
      <c r="N1511" s="74"/>
    </row>
    <row r="1512" spans="14:14" x14ac:dyDescent="0.25">
      <c r="N1512" s="74"/>
    </row>
    <row r="1513" spans="14:14" x14ac:dyDescent="0.25">
      <c r="N1513" s="74"/>
    </row>
    <row r="1514" spans="14:14" x14ac:dyDescent="0.25">
      <c r="N1514" s="74"/>
    </row>
    <row r="1515" spans="14:14" x14ac:dyDescent="0.25">
      <c r="N1515" s="74"/>
    </row>
    <row r="1516" spans="14:14" x14ac:dyDescent="0.25">
      <c r="N1516" s="74"/>
    </row>
    <row r="1517" spans="14:14" x14ac:dyDescent="0.25">
      <c r="N1517" s="74"/>
    </row>
    <row r="1518" spans="14:14" x14ac:dyDescent="0.25">
      <c r="N1518" s="74"/>
    </row>
    <row r="1519" spans="14:14" x14ac:dyDescent="0.25">
      <c r="N1519" s="74"/>
    </row>
    <row r="1520" spans="14:14" x14ac:dyDescent="0.25">
      <c r="N1520" s="74"/>
    </row>
    <row r="1521" spans="14:14" x14ac:dyDescent="0.25">
      <c r="N1521" s="74"/>
    </row>
    <row r="1522" spans="14:14" x14ac:dyDescent="0.25">
      <c r="N1522" s="74"/>
    </row>
    <row r="1523" spans="14:14" x14ac:dyDescent="0.25">
      <c r="N1523" s="74"/>
    </row>
    <row r="1524" spans="14:14" x14ac:dyDescent="0.25">
      <c r="N1524" s="74"/>
    </row>
    <row r="1525" spans="14:14" x14ac:dyDescent="0.25">
      <c r="N1525" s="74"/>
    </row>
    <row r="1526" spans="14:14" x14ac:dyDescent="0.25">
      <c r="N1526" s="74"/>
    </row>
    <row r="1527" spans="14:14" x14ac:dyDescent="0.25">
      <c r="N1527" s="74"/>
    </row>
    <row r="1528" spans="14:14" x14ac:dyDescent="0.25">
      <c r="N1528" s="74"/>
    </row>
    <row r="1529" spans="14:14" x14ac:dyDescent="0.25">
      <c r="N1529" s="74"/>
    </row>
    <row r="1530" spans="14:14" x14ac:dyDescent="0.25">
      <c r="N1530" s="74"/>
    </row>
    <row r="1531" spans="14:14" x14ac:dyDescent="0.25">
      <c r="N1531" s="74"/>
    </row>
    <row r="1532" spans="14:14" x14ac:dyDescent="0.25">
      <c r="N1532" s="74"/>
    </row>
    <row r="1533" spans="14:14" x14ac:dyDescent="0.25">
      <c r="N1533" s="74"/>
    </row>
    <row r="1534" spans="14:14" x14ac:dyDescent="0.25">
      <c r="N1534" s="74"/>
    </row>
    <row r="1535" spans="14:14" x14ac:dyDescent="0.25">
      <c r="N1535" s="74"/>
    </row>
    <row r="1536" spans="14:14" x14ac:dyDescent="0.25">
      <c r="N1536" s="74"/>
    </row>
    <row r="1537" spans="14:14" x14ac:dyDescent="0.25">
      <c r="N1537" s="74"/>
    </row>
    <row r="1538" spans="14:14" x14ac:dyDescent="0.25">
      <c r="N1538" s="74"/>
    </row>
    <row r="1539" spans="14:14" x14ac:dyDescent="0.25">
      <c r="N1539" s="74"/>
    </row>
    <row r="1540" spans="14:14" x14ac:dyDescent="0.25">
      <c r="N1540" s="74"/>
    </row>
    <row r="1541" spans="14:14" x14ac:dyDescent="0.25">
      <c r="N1541" s="74"/>
    </row>
    <row r="1542" spans="14:14" x14ac:dyDescent="0.25">
      <c r="N1542" s="74"/>
    </row>
    <row r="1543" spans="14:14" x14ac:dyDescent="0.25">
      <c r="N1543" s="74"/>
    </row>
    <row r="1544" spans="14:14" x14ac:dyDescent="0.25">
      <c r="N1544" s="74"/>
    </row>
    <row r="1545" spans="14:14" x14ac:dyDescent="0.25">
      <c r="N1545" s="74"/>
    </row>
    <row r="1546" spans="14:14" x14ac:dyDescent="0.25">
      <c r="N1546" s="74"/>
    </row>
    <row r="1547" spans="14:14" x14ac:dyDescent="0.25">
      <c r="N1547" s="74"/>
    </row>
    <row r="1548" spans="14:14" x14ac:dyDescent="0.25">
      <c r="N1548" s="74"/>
    </row>
    <row r="1549" spans="14:14" x14ac:dyDescent="0.25">
      <c r="N1549" s="74"/>
    </row>
    <row r="1550" spans="14:14" x14ac:dyDescent="0.25">
      <c r="N1550" s="74"/>
    </row>
    <row r="1551" spans="14:14" x14ac:dyDescent="0.25">
      <c r="N1551" s="74"/>
    </row>
    <row r="1552" spans="14:14" x14ac:dyDescent="0.25">
      <c r="N1552" s="74"/>
    </row>
    <row r="1553" spans="14:14" x14ac:dyDescent="0.25">
      <c r="N1553" s="74"/>
    </row>
    <row r="1554" spans="14:14" x14ac:dyDescent="0.25">
      <c r="N1554" s="74"/>
    </row>
    <row r="1555" spans="14:14" x14ac:dyDescent="0.25">
      <c r="N1555" s="74"/>
    </row>
    <row r="1556" spans="14:14" x14ac:dyDescent="0.25">
      <c r="N1556" s="74"/>
    </row>
    <row r="1557" spans="14:14" x14ac:dyDescent="0.25">
      <c r="N1557" s="74"/>
    </row>
    <row r="1558" spans="14:14" x14ac:dyDescent="0.25">
      <c r="N1558" s="74"/>
    </row>
    <row r="1559" spans="14:14" x14ac:dyDescent="0.25">
      <c r="N1559" s="74"/>
    </row>
    <row r="1560" spans="14:14" x14ac:dyDescent="0.25">
      <c r="N1560" s="74"/>
    </row>
    <row r="1561" spans="14:14" x14ac:dyDescent="0.25">
      <c r="N1561" s="74"/>
    </row>
    <row r="1562" spans="14:14" x14ac:dyDescent="0.25">
      <c r="N1562" s="74"/>
    </row>
    <row r="1563" spans="14:14" x14ac:dyDescent="0.25">
      <c r="N1563" s="74"/>
    </row>
    <row r="1564" spans="14:14" x14ac:dyDescent="0.25">
      <c r="N1564" s="74"/>
    </row>
    <row r="1565" spans="14:14" x14ac:dyDescent="0.25">
      <c r="N1565" s="74"/>
    </row>
    <row r="1566" spans="14:14" x14ac:dyDescent="0.25">
      <c r="N1566" s="74"/>
    </row>
    <row r="1567" spans="14:14" x14ac:dyDescent="0.25">
      <c r="N1567" s="74"/>
    </row>
    <row r="1568" spans="14:14" x14ac:dyDescent="0.25">
      <c r="N1568" s="74"/>
    </row>
    <row r="1569" spans="14:14" x14ac:dyDescent="0.25">
      <c r="N1569" s="74"/>
    </row>
    <row r="1570" spans="14:14" x14ac:dyDescent="0.25">
      <c r="N1570" s="74"/>
    </row>
    <row r="1571" spans="14:14" x14ac:dyDescent="0.25">
      <c r="N1571" s="74"/>
    </row>
    <row r="1572" spans="14:14" x14ac:dyDescent="0.25">
      <c r="N1572" s="74"/>
    </row>
    <row r="1573" spans="14:14" x14ac:dyDescent="0.25">
      <c r="N1573" s="74"/>
    </row>
    <row r="1574" spans="14:14" x14ac:dyDescent="0.25">
      <c r="N1574" s="74"/>
    </row>
    <row r="1575" spans="14:14" x14ac:dyDescent="0.25">
      <c r="N1575" s="74"/>
    </row>
    <row r="1576" spans="14:14" x14ac:dyDescent="0.25">
      <c r="N1576" s="74"/>
    </row>
    <row r="1577" spans="14:14" x14ac:dyDescent="0.25">
      <c r="N1577" s="74"/>
    </row>
    <row r="1578" spans="14:14" x14ac:dyDescent="0.25">
      <c r="N1578" s="74"/>
    </row>
    <row r="1579" spans="14:14" x14ac:dyDescent="0.25">
      <c r="N1579" s="74"/>
    </row>
    <row r="1580" spans="14:14" x14ac:dyDescent="0.25">
      <c r="N1580" s="74"/>
    </row>
    <row r="1581" spans="14:14" x14ac:dyDescent="0.25">
      <c r="N1581" s="74"/>
    </row>
    <row r="1582" spans="14:14" x14ac:dyDescent="0.25">
      <c r="N1582" s="74"/>
    </row>
    <row r="1583" spans="14:14" x14ac:dyDescent="0.25">
      <c r="N1583" s="74"/>
    </row>
    <row r="1584" spans="14:14" x14ac:dyDescent="0.25">
      <c r="N1584" s="74"/>
    </row>
    <row r="1585" spans="14:14" x14ac:dyDescent="0.25">
      <c r="N1585" s="74"/>
    </row>
    <row r="1586" spans="14:14" x14ac:dyDescent="0.25">
      <c r="N1586" s="74"/>
    </row>
    <row r="1587" spans="14:14" x14ac:dyDescent="0.25">
      <c r="N1587" s="74"/>
    </row>
    <row r="1588" spans="14:14" x14ac:dyDescent="0.25">
      <c r="N1588" s="74"/>
    </row>
    <row r="1589" spans="14:14" x14ac:dyDescent="0.25">
      <c r="N1589" s="74"/>
    </row>
    <row r="1590" spans="14:14" x14ac:dyDescent="0.25">
      <c r="N1590" s="74"/>
    </row>
    <row r="1591" spans="14:14" x14ac:dyDescent="0.25">
      <c r="N1591" s="74"/>
    </row>
    <row r="1592" spans="14:14" x14ac:dyDescent="0.25">
      <c r="N1592" s="74"/>
    </row>
    <row r="1593" spans="14:14" x14ac:dyDescent="0.25">
      <c r="N1593" s="74"/>
    </row>
    <row r="1594" spans="14:14" x14ac:dyDescent="0.25">
      <c r="N1594" s="74"/>
    </row>
    <row r="1595" spans="14:14" x14ac:dyDescent="0.25">
      <c r="N1595" s="74"/>
    </row>
    <row r="1596" spans="14:14" x14ac:dyDescent="0.25">
      <c r="N1596" s="74"/>
    </row>
    <row r="1597" spans="14:14" x14ac:dyDescent="0.25">
      <c r="N1597" s="74"/>
    </row>
    <row r="1598" spans="14:14" x14ac:dyDescent="0.25">
      <c r="N1598" s="74"/>
    </row>
    <row r="1599" spans="14:14" x14ac:dyDescent="0.25">
      <c r="N1599" s="74"/>
    </row>
    <row r="1600" spans="14:14" x14ac:dyDescent="0.25">
      <c r="N1600" s="74"/>
    </row>
    <row r="1601" spans="14:14" x14ac:dyDescent="0.25">
      <c r="N1601" s="74"/>
    </row>
    <row r="1602" spans="14:14" x14ac:dyDescent="0.25">
      <c r="N1602" s="74"/>
    </row>
    <row r="1603" spans="14:14" x14ac:dyDescent="0.25">
      <c r="N1603" s="74"/>
    </row>
    <row r="1604" spans="14:14" x14ac:dyDescent="0.25">
      <c r="N1604" s="74"/>
    </row>
    <row r="1605" spans="14:14" x14ac:dyDescent="0.25">
      <c r="N1605" s="74"/>
    </row>
    <row r="1606" spans="14:14" x14ac:dyDescent="0.25">
      <c r="N1606" s="74"/>
    </row>
    <row r="1607" spans="14:14" x14ac:dyDescent="0.25">
      <c r="N1607" s="74"/>
    </row>
    <row r="1608" spans="14:14" x14ac:dyDescent="0.25">
      <c r="N1608" s="74"/>
    </row>
    <row r="1609" spans="14:14" x14ac:dyDescent="0.25">
      <c r="N1609" s="74"/>
    </row>
    <row r="1610" spans="14:14" x14ac:dyDescent="0.25">
      <c r="N1610" s="74"/>
    </row>
    <row r="1611" spans="14:14" x14ac:dyDescent="0.25">
      <c r="N1611" s="74"/>
    </row>
    <row r="1612" spans="14:14" x14ac:dyDescent="0.25">
      <c r="N1612" s="74"/>
    </row>
    <row r="1613" spans="14:14" x14ac:dyDescent="0.25">
      <c r="N1613" s="74"/>
    </row>
    <row r="1614" spans="14:14" x14ac:dyDescent="0.25">
      <c r="N1614" s="74"/>
    </row>
    <row r="1615" spans="14:14" x14ac:dyDescent="0.25">
      <c r="N1615" s="74"/>
    </row>
    <row r="1616" spans="14:14" x14ac:dyDescent="0.25">
      <c r="N1616" s="74"/>
    </row>
    <row r="1617" spans="14:14" x14ac:dyDescent="0.25">
      <c r="N1617" s="74"/>
    </row>
    <row r="1618" spans="14:14" x14ac:dyDescent="0.25">
      <c r="N1618" s="74"/>
    </row>
    <row r="1619" spans="14:14" x14ac:dyDescent="0.25">
      <c r="N1619" s="74"/>
    </row>
    <row r="1620" spans="14:14" x14ac:dyDescent="0.25">
      <c r="N1620" s="74"/>
    </row>
    <row r="1621" spans="14:14" x14ac:dyDescent="0.25">
      <c r="N1621" s="74"/>
    </row>
    <row r="1622" spans="14:14" x14ac:dyDescent="0.25">
      <c r="N1622" s="74"/>
    </row>
    <row r="1623" spans="14:14" x14ac:dyDescent="0.25">
      <c r="N1623" s="74"/>
    </row>
    <row r="1624" spans="14:14" x14ac:dyDescent="0.25">
      <c r="N1624" s="74"/>
    </row>
    <row r="1625" spans="14:14" x14ac:dyDescent="0.25">
      <c r="N1625" s="74"/>
    </row>
    <row r="1626" spans="14:14" x14ac:dyDescent="0.25">
      <c r="N1626" s="74"/>
    </row>
    <row r="1627" spans="14:14" x14ac:dyDescent="0.25">
      <c r="N1627" s="74"/>
    </row>
    <row r="1628" spans="14:14" x14ac:dyDescent="0.25">
      <c r="N1628" s="74"/>
    </row>
    <row r="1629" spans="14:14" x14ac:dyDescent="0.25">
      <c r="N1629" s="74"/>
    </row>
    <row r="1630" spans="14:14" x14ac:dyDescent="0.25">
      <c r="N1630" s="74"/>
    </row>
    <row r="1631" spans="14:14" x14ac:dyDescent="0.25">
      <c r="N1631" s="74"/>
    </row>
    <row r="1632" spans="14:14" x14ac:dyDescent="0.25">
      <c r="N1632" s="74"/>
    </row>
    <row r="1633" spans="14:14" x14ac:dyDescent="0.25">
      <c r="N1633" s="74"/>
    </row>
    <row r="1634" spans="14:14" x14ac:dyDescent="0.25">
      <c r="N1634" s="74"/>
    </row>
    <row r="1635" spans="14:14" x14ac:dyDescent="0.25">
      <c r="N1635" s="74"/>
    </row>
    <row r="1636" spans="14:14" x14ac:dyDescent="0.25">
      <c r="N1636" s="74"/>
    </row>
    <row r="1637" spans="14:14" x14ac:dyDescent="0.25">
      <c r="N1637" s="74"/>
    </row>
    <row r="1638" spans="14:14" x14ac:dyDescent="0.25">
      <c r="N1638" s="74"/>
    </row>
    <row r="1639" spans="14:14" x14ac:dyDescent="0.25">
      <c r="N1639" s="74"/>
    </row>
    <row r="1640" spans="14:14" x14ac:dyDescent="0.25">
      <c r="N1640" s="74"/>
    </row>
    <row r="1641" spans="14:14" x14ac:dyDescent="0.25">
      <c r="N1641" s="74"/>
    </row>
    <row r="1642" spans="14:14" x14ac:dyDescent="0.25">
      <c r="N1642" s="74"/>
    </row>
    <row r="1643" spans="14:14" x14ac:dyDescent="0.25">
      <c r="N1643" s="74"/>
    </row>
    <row r="1644" spans="14:14" x14ac:dyDescent="0.25">
      <c r="N1644" s="74"/>
    </row>
    <row r="1645" spans="14:14" x14ac:dyDescent="0.25">
      <c r="N1645" s="74"/>
    </row>
    <row r="1646" spans="14:14" x14ac:dyDescent="0.25">
      <c r="N1646" s="74"/>
    </row>
    <row r="1647" spans="14:14" x14ac:dyDescent="0.25">
      <c r="N1647" s="74"/>
    </row>
    <row r="1648" spans="14:14" x14ac:dyDescent="0.25">
      <c r="N1648" s="74"/>
    </row>
    <row r="1649" spans="14:14" x14ac:dyDescent="0.25">
      <c r="N1649" s="74"/>
    </row>
    <row r="1650" spans="14:14" x14ac:dyDescent="0.25">
      <c r="N1650" s="74"/>
    </row>
    <row r="1651" spans="14:14" x14ac:dyDescent="0.25">
      <c r="N1651" s="74"/>
    </row>
    <row r="1652" spans="14:14" x14ac:dyDescent="0.25">
      <c r="N1652" s="74"/>
    </row>
    <row r="1653" spans="14:14" x14ac:dyDescent="0.25">
      <c r="N1653" s="74"/>
    </row>
    <row r="1654" spans="14:14" x14ac:dyDescent="0.25">
      <c r="N1654" s="74"/>
    </row>
    <row r="1655" spans="14:14" x14ac:dyDescent="0.25">
      <c r="N1655" s="74"/>
    </row>
    <row r="1656" spans="14:14" x14ac:dyDescent="0.25">
      <c r="N1656" s="74"/>
    </row>
    <row r="1657" spans="14:14" x14ac:dyDescent="0.25">
      <c r="N1657" s="74"/>
    </row>
    <row r="1658" spans="14:14" x14ac:dyDescent="0.25">
      <c r="N1658" s="74"/>
    </row>
    <row r="1659" spans="14:14" x14ac:dyDescent="0.25">
      <c r="N1659" s="74"/>
    </row>
    <row r="1660" spans="14:14" x14ac:dyDescent="0.25">
      <c r="N1660" s="74"/>
    </row>
    <row r="1661" spans="14:14" x14ac:dyDescent="0.25">
      <c r="N1661" s="74"/>
    </row>
    <row r="1662" spans="14:14" x14ac:dyDescent="0.25">
      <c r="N1662" s="74"/>
    </row>
    <row r="1663" spans="14:14" x14ac:dyDescent="0.25">
      <c r="N1663" s="74"/>
    </row>
    <row r="1664" spans="14:14" x14ac:dyDescent="0.25">
      <c r="N1664" s="74"/>
    </row>
    <row r="1665" spans="14:14" x14ac:dyDescent="0.25">
      <c r="N1665" s="74"/>
    </row>
    <row r="1666" spans="14:14" x14ac:dyDescent="0.25">
      <c r="N1666" s="74"/>
    </row>
    <row r="1667" spans="14:14" x14ac:dyDescent="0.25">
      <c r="N1667" s="74"/>
    </row>
    <row r="1668" spans="14:14" x14ac:dyDescent="0.25">
      <c r="N1668" s="74"/>
    </row>
    <row r="1669" spans="14:14" x14ac:dyDescent="0.25">
      <c r="N1669" s="74"/>
    </row>
    <row r="1670" spans="14:14" x14ac:dyDescent="0.25">
      <c r="N1670" s="74"/>
    </row>
    <row r="1671" spans="14:14" x14ac:dyDescent="0.25">
      <c r="N1671" s="74"/>
    </row>
    <row r="1672" spans="14:14" x14ac:dyDescent="0.25">
      <c r="N1672" s="74"/>
    </row>
    <row r="1673" spans="14:14" x14ac:dyDescent="0.25">
      <c r="N1673" s="74"/>
    </row>
    <row r="1674" spans="14:14" x14ac:dyDescent="0.25">
      <c r="N1674" s="74"/>
    </row>
    <row r="1675" spans="14:14" x14ac:dyDescent="0.25">
      <c r="N1675" s="74"/>
    </row>
    <row r="1676" spans="14:14" x14ac:dyDescent="0.25">
      <c r="N1676" s="74"/>
    </row>
    <row r="1677" spans="14:14" x14ac:dyDescent="0.25">
      <c r="N1677" s="74"/>
    </row>
    <row r="1678" spans="14:14" x14ac:dyDescent="0.25">
      <c r="N1678" s="74"/>
    </row>
    <row r="1679" spans="14:14" x14ac:dyDescent="0.25">
      <c r="N1679" s="74"/>
    </row>
    <row r="1680" spans="14:14" x14ac:dyDescent="0.25">
      <c r="N1680" s="74"/>
    </row>
    <row r="1681" spans="14:14" x14ac:dyDescent="0.25">
      <c r="N1681" s="74"/>
    </row>
    <row r="1682" spans="14:14" x14ac:dyDescent="0.25">
      <c r="N1682" s="74"/>
    </row>
    <row r="1683" spans="14:14" x14ac:dyDescent="0.25">
      <c r="N1683" s="74"/>
    </row>
    <row r="1684" spans="14:14" x14ac:dyDescent="0.25">
      <c r="N1684" s="74"/>
    </row>
    <row r="1685" spans="14:14" x14ac:dyDescent="0.25">
      <c r="N1685" s="74"/>
    </row>
    <row r="1686" spans="14:14" x14ac:dyDescent="0.25">
      <c r="N1686" s="74"/>
    </row>
    <row r="1687" spans="14:14" x14ac:dyDescent="0.25">
      <c r="N1687" s="74"/>
    </row>
    <row r="1688" spans="14:14" x14ac:dyDescent="0.25">
      <c r="N1688" s="74"/>
    </row>
    <row r="1689" spans="14:14" x14ac:dyDescent="0.25">
      <c r="N1689" s="74"/>
    </row>
    <row r="1690" spans="14:14" x14ac:dyDescent="0.25">
      <c r="N1690" s="74"/>
    </row>
    <row r="1691" spans="14:14" x14ac:dyDescent="0.25">
      <c r="N1691" s="74"/>
    </row>
    <row r="1692" spans="14:14" x14ac:dyDescent="0.25">
      <c r="N1692" s="74"/>
    </row>
    <row r="1693" spans="14:14" x14ac:dyDescent="0.25">
      <c r="N1693" s="74"/>
    </row>
    <row r="1694" spans="14:14" x14ac:dyDescent="0.25">
      <c r="N1694" s="74"/>
    </row>
    <row r="1695" spans="14:14" x14ac:dyDescent="0.25">
      <c r="N1695" s="74"/>
    </row>
    <row r="1696" spans="14:14" x14ac:dyDescent="0.25">
      <c r="N1696" s="74"/>
    </row>
    <row r="1697" spans="14:14" x14ac:dyDescent="0.25">
      <c r="N1697" s="74"/>
    </row>
    <row r="1698" spans="14:14" x14ac:dyDescent="0.25">
      <c r="N1698" s="74"/>
    </row>
    <row r="1699" spans="14:14" x14ac:dyDescent="0.25">
      <c r="N1699" s="74"/>
    </row>
    <row r="1700" spans="14:14" x14ac:dyDescent="0.25">
      <c r="N1700" s="74"/>
    </row>
    <row r="1701" spans="14:14" x14ac:dyDescent="0.25">
      <c r="N1701" s="74"/>
    </row>
    <row r="1702" spans="14:14" x14ac:dyDescent="0.25">
      <c r="N1702" s="74"/>
    </row>
    <row r="1703" spans="14:14" x14ac:dyDescent="0.25">
      <c r="N1703" s="74"/>
    </row>
    <row r="1704" spans="14:14" x14ac:dyDescent="0.25">
      <c r="N1704" s="74"/>
    </row>
    <row r="1705" spans="14:14" x14ac:dyDescent="0.25">
      <c r="N1705" s="74"/>
    </row>
    <row r="1706" spans="14:14" x14ac:dyDescent="0.25">
      <c r="N1706" s="74"/>
    </row>
    <row r="1707" spans="14:14" x14ac:dyDescent="0.25">
      <c r="N1707" s="74"/>
    </row>
    <row r="1708" spans="14:14" x14ac:dyDescent="0.25">
      <c r="N1708" s="74"/>
    </row>
    <row r="1709" spans="14:14" x14ac:dyDescent="0.25">
      <c r="N1709" s="74"/>
    </row>
    <row r="1710" spans="14:14" x14ac:dyDescent="0.25">
      <c r="N1710" s="74"/>
    </row>
    <row r="1711" spans="14:14" x14ac:dyDescent="0.25">
      <c r="N1711" s="74"/>
    </row>
    <row r="1712" spans="14:14" x14ac:dyDescent="0.25">
      <c r="N1712" s="74"/>
    </row>
    <row r="1713" spans="14:14" x14ac:dyDescent="0.25">
      <c r="N1713" s="74"/>
    </row>
    <row r="1714" spans="14:14" x14ac:dyDescent="0.25">
      <c r="N1714" s="74"/>
    </row>
    <row r="1715" spans="14:14" x14ac:dyDescent="0.25">
      <c r="N1715" s="74"/>
    </row>
    <row r="1716" spans="14:14" x14ac:dyDescent="0.25">
      <c r="N1716" s="74"/>
    </row>
    <row r="1717" spans="14:14" x14ac:dyDescent="0.25">
      <c r="N1717" s="74"/>
    </row>
    <row r="1718" spans="14:14" x14ac:dyDescent="0.25">
      <c r="N1718" s="74"/>
    </row>
    <row r="1719" spans="14:14" x14ac:dyDescent="0.25">
      <c r="N1719" s="74"/>
    </row>
    <row r="1720" spans="14:14" x14ac:dyDescent="0.25">
      <c r="N1720" s="74"/>
    </row>
    <row r="1721" spans="14:14" x14ac:dyDescent="0.25">
      <c r="N1721" s="74"/>
    </row>
    <row r="1722" spans="14:14" x14ac:dyDescent="0.25">
      <c r="N1722" s="74"/>
    </row>
    <row r="1723" spans="14:14" x14ac:dyDescent="0.25">
      <c r="N1723" s="74"/>
    </row>
    <row r="1724" spans="14:14" x14ac:dyDescent="0.25">
      <c r="N1724" s="74"/>
    </row>
    <row r="1725" spans="14:14" x14ac:dyDescent="0.25">
      <c r="N1725" s="74"/>
    </row>
    <row r="1726" spans="14:14" x14ac:dyDescent="0.25">
      <c r="N1726" s="74"/>
    </row>
    <row r="1727" spans="14:14" x14ac:dyDescent="0.25">
      <c r="N1727" s="74"/>
    </row>
    <row r="1728" spans="14:14" x14ac:dyDescent="0.25">
      <c r="N1728" s="74"/>
    </row>
    <row r="1729" spans="14:14" x14ac:dyDescent="0.25">
      <c r="N1729" s="74"/>
    </row>
    <row r="1730" spans="14:14" x14ac:dyDescent="0.25">
      <c r="N1730" s="74"/>
    </row>
    <row r="1731" spans="14:14" x14ac:dyDescent="0.25">
      <c r="N1731" s="74"/>
    </row>
    <row r="1732" spans="14:14" x14ac:dyDescent="0.25">
      <c r="N1732" s="74"/>
    </row>
    <row r="1733" spans="14:14" x14ac:dyDescent="0.25">
      <c r="N1733" s="74"/>
    </row>
    <row r="1734" spans="14:14" x14ac:dyDescent="0.25">
      <c r="N1734" s="74"/>
    </row>
    <row r="1735" spans="14:14" x14ac:dyDescent="0.25">
      <c r="N1735" s="74"/>
    </row>
    <row r="1736" spans="14:14" x14ac:dyDescent="0.25">
      <c r="N1736" s="74"/>
    </row>
    <row r="1737" spans="14:14" x14ac:dyDescent="0.25">
      <c r="N1737" s="74"/>
    </row>
    <row r="1738" spans="14:14" x14ac:dyDescent="0.25">
      <c r="N1738" s="74"/>
    </row>
    <row r="1739" spans="14:14" x14ac:dyDescent="0.25">
      <c r="N1739" s="74"/>
    </row>
    <row r="1740" spans="14:14" x14ac:dyDescent="0.25">
      <c r="N1740" s="74"/>
    </row>
    <row r="1741" spans="14:14" x14ac:dyDescent="0.25">
      <c r="N1741" s="74"/>
    </row>
    <row r="1742" spans="14:14" x14ac:dyDescent="0.25">
      <c r="N1742" s="74"/>
    </row>
    <row r="1743" spans="14:14" x14ac:dyDescent="0.25">
      <c r="N1743" s="74"/>
    </row>
    <row r="1744" spans="14:14" x14ac:dyDescent="0.25">
      <c r="N1744" s="74"/>
    </row>
    <row r="1745" spans="14:14" x14ac:dyDescent="0.25">
      <c r="N1745" s="74"/>
    </row>
    <row r="1746" spans="14:14" x14ac:dyDescent="0.25">
      <c r="N1746" s="74"/>
    </row>
    <row r="1747" spans="14:14" x14ac:dyDescent="0.25">
      <c r="N1747" s="74"/>
    </row>
    <row r="1748" spans="14:14" x14ac:dyDescent="0.25">
      <c r="N1748" s="74"/>
    </row>
    <row r="1749" spans="14:14" x14ac:dyDescent="0.25">
      <c r="N1749" s="74"/>
    </row>
    <row r="1750" spans="14:14" x14ac:dyDescent="0.25">
      <c r="N1750" s="74"/>
    </row>
    <row r="1751" spans="14:14" x14ac:dyDescent="0.25">
      <c r="N1751" s="74"/>
    </row>
    <row r="1752" spans="14:14" x14ac:dyDescent="0.25">
      <c r="N1752" s="74"/>
    </row>
    <row r="1753" spans="14:14" x14ac:dyDescent="0.25">
      <c r="N1753" s="74"/>
    </row>
    <row r="1754" spans="14:14" x14ac:dyDescent="0.25">
      <c r="N1754" s="74"/>
    </row>
    <row r="1755" spans="14:14" x14ac:dyDescent="0.25">
      <c r="N1755" s="74"/>
    </row>
    <row r="1756" spans="14:14" x14ac:dyDescent="0.25">
      <c r="N1756" s="74"/>
    </row>
    <row r="1757" spans="14:14" x14ac:dyDescent="0.25">
      <c r="N1757" s="74"/>
    </row>
    <row r="1758" spans="14:14" x14ac:dyDescent="0.25">
      <c r="N1758" s="74"/>
    </row>
    <row r="1759" spans="14:14" x14ac:dyDescent="0.25">
      <c r="N1759" s="74"/>
    </row>
    <row r="1760" spans="14:14" x14ac:dyDescent="0.25">
      <c r="N1760" s="74"/>
    </row>
    <row r="1761" spans="14:14" x14ac:dyDescent="0.25">
      <c r="N1761" s="74"/>
    </row>
    <row r="1762" spans="14:14" x14ac:dyDescent="0.25">
      <c r="N1762" s="74"/>
    </row>
    <row r="1763" spans="14:14" x14ac:dyDescent="0.25">
      <c r="N1763" s="74"/>
    </row>
    <row r="1764" spans="14:14" x14ac:dyDescent="0.25">
      <c r="N1764" s="74"/>
    </row>
    <row r="1765" spans="14:14" x14ac:dyDescent="0.25">
      <c r="N1765" s="74"/>
    </row>
    <row r="1766" spans="14:14" x14ac:dyDescent="0.25">
      <c r="N1766" s="74"/>
    </row>
    <row r="1767" spans="14:14" x14ac:dyDescent="0.25">
      <c r="N1767" s="74"/>
    </row>
    <row r="1768" spans="14:14" x14ac:dyDescent="0.25">
      <c r="N1768" s="74"/>
    </row>
    <row r="1769" spans="14:14" x14ac:dyDescent="0.25">
      <c r="N1769" s="74"/>
    </row>
    <row r="1770" spans="14:14" x14ac:dyDescent="0.25">
      <c r="N1770" s="74"/>
    </row>
    <row r="1771" spans="14:14" x14ac:dyDescent="0.25">
      <c r="N1771" s="74"/>
    </row>
    <row r="1772" spans="14:14" x14ac:dyDescent="0.25">
      <c r="N1772" s="74"/>
    </row>
    <row r="1773" spans="14:14" x14ac:dyDescent="0.25">
      <c r="N1773" s="74"/>
    </row>
    <row r="1774" spans="14:14" x14ac:dyDescent="0.25">
      <c r="N1774" s="74"/>
    </row>
    <row r="1775" spans="14:14" x14ac:dyDescent="0.25">
      <c r="N1775" s="74"/>
    </row>
    <row r="1776" spans="14:14" x14ac:dyDescent="0.25">
      <c r="N1776" s="74"/>
    </row>
    <row r="1777" spans="14:14" x14ac:dyDescent="0.25">
      <c r="N1777" s="74"/>
    </row>
    <row r="1778" spans="14:14" x14ac:dyDescent="0.25">
      <c r="N1778" s="74"/>
    </row>
    <row r="1779" spans="14:14" x14ac:dyDescent="0.25">
      <c r="N1779" s="74"/>
    </row>
    <row r="1780" spans="14:14" x14ac:dyDescent="0.25">
      <c r="N1780" s="74"/>
    </row>
    <row r="1781" spans="14:14" x14ac:dyDescent="0.25">
      <c r="N1781" s="74"/>
    </row>
    <row r="1782" spans="14:14" x14ac:dyDescent="0.25">
      <c r="N1782" s="74"/>
    </row>
    <row r="1783" spans="14:14" x14ac:dyDescent="0.25">
      <c r="N1783" s="74"/>
    </row>
    <row r="1784" spans="14:14" x14ac:dyDescent="0.25">
      <c r="N1784" s="74"/>
    </row>
    <row r="1785" spans="14:14" x14ac:dyDescent="0.25">
      <c r="N1785" s="74"/>
    </row>
    <row r="1786" spans="14:14" x14ac:dyDescent="0.25">
      <c r="N1786" s="74"/>
    </row>
    <row r="1787" spans="14:14" x14ac:dyDescent="0.25">
      <c r="N1787" s="74"/>
    </row>
    <row r="1788" spans="14:14" x14ac:dyDescent="0.25">
      <c r="N1788" s="74"/>
    </row>
    <row r="1789" spans="14:14" x14ac:dyDescent="0.25">
      <c r="N1789" s="74"/>
    </row>
    <row r="1790" spans="14:14" x14ac:dyDescent="0.25">
      <c r="N1790" s="74"/>
    </row>
    <row r="1791" spans="14:14" x14ac:dyDescent="0.25">
      <c r="N1791" s="74"/>
    </row>
    <row r="1792" spans="14:14" x14ac:dyDescent="0.25">
      <c r="N1792" s="74"/>
    </row>
    <row r="1793" spans="14:14" x14ac:dyDescent="0.25">
      <c r="N1793" s="74"/>
    </row>
    <row r="1794" spans="14:14" x14ac:dyDescent="0.25">
      <c r="N1794" s="74"/>
    </row>
    <row r="1795" spans="14:14" x14ac:dyDescent="0.25">
      <c r="N1795" s="74"/>
    </row>
    <row r="1796" spans="14:14" x14ac:dyDescent="0.25">
      <c r="N1796" s="74"/>
    </row>
    <row r="1797" spans="14:14" x14ac:dyDescent="0.25">
      <c r="N1797" s="74"/>
    </row>
    <row r="1798" spans="14:14" x14ac:dyDescent="0.25">
      <c r="N1798" s="74"/>
    </row>
    <row r="1799" spans="14:14" x14ac:dyDescent="0.25">
      <c r="N1799" s="74"/>
    </row>
    <row r="1800" spans="14:14" x14ac:dyDescent="0.25">
      <c r="N1800" s="74"/>
    </row>
    <row r="1801" spans="14:14" x14ac:dyDescent="0.25">
      <c r="N1801" s="74"/>
    </row>
    <row r="1802" spans="14:14" x14ac:dyDescent="0.25">
      <c r="N1802" s="74"/>
    </row>
    <row r="1803" spans="14:14" x14ac:dyDescent="0.25">
      <c r="N1803" s="74"/>
    </row>
    <row r="1804" spans="14:14" x14ac:dyDescent="0.25">
      <c r="N1804" s="74"/>
    </row>
    <row r="1805" spans="14:14" x14ac:dyDescent="0.25">
      <c r="N1805" s="74"/>
    </row>
    <row r="1806" spans="14:14" x14ac:dyDescent="0.25">
      <c r="N1806" s="74"/>
    </row>
    <row r="1807" spans="14:14" x14ac:dyDescent="0.25">
      <c r="N1807" s="74"/>
    </row>
    <row r="1808" spans="14:14" x14ac:dyDescent="0.25">
      <c r="N1808" s="74"/>
    </row>
    <row r="1809" spans="14:14" x14ac:dyDescent="0.25">
      <c r="N1809" s="74"/>
    </row>
    <row r="1810" spans="14:14" x14ac:dyDescent="0.25">
      <c r="N1810" s="74"/>
    </row>
    <row r="1811" spans="14:14" x14ac:dyDescent="0.25">
      <c r="N1811" s="74"/>
    </row>
    <row r="1812" spans="14:14" x14ac:dyDescent="0.25">
      <c r="N1812" s="74"/>
    </row>
    <row r="1813" spans="14:14" x14ac:dyDescent="0.25">
      <c r="N1813" s="74"/>
    </row>
    <row r="1814" spans="14:14" x14ac:dyDescent="0.25">
      <c r="N1814" s="74"/>
    </row>
    <row r="1815" spans="14:14" x14ac:dyDescent="0.25">
      <c r="N1815" s="74"/>
    </row>
    <row r="1816" spans="14:14" x14ac:dyDescent="0.25">
      <c r="N1816" s="74"/>
    </row>
    <row r="1817" spans="14:14" x14ac:dyDescent="0.25">
      <c r="N1817" s="74"/>
    </row>
    <row r="1818" spans="14:14" x14ac:dyDescent="0.25">
      <c r="N1818" s="74"/>
    </row>
    <row r="1819" spans="14:14" x14ac:dyDescent="0.25">
      <c r="N1819" s="74"/>
    </row>
    <row r="1820" spans="14:14" x14ac:dyDescent="0.25">
      <c r="N1820" s="74"/>
    </row>
    <row r="1821" spans="14:14" x14ac:dyDescent="0.25">
      <c r="N1821" s="74"/>
    </row>
    <row r="1822" spans="14:14" x14ac:dyDescent="0.25">
      <c r="N1822" s="74"/>
    </row>
    <row r="1823" spans="14:14" x14ac:dyDescent="0.25">
      <c r="N1823" s="74"/>
    </row>
    <row r="1824" spans="14:14" x14ac:dyDescent="0.25">
      <c r="N1824" s="74"/>
    </row>
    <row r="1825" spans="14:14" x14ac:dyDescent="0.25">
      <c r="N1825" s="74"/>
    </row>
    <row r="1826" spans="14:14" x14ac:dyDescent="0.25">
      <c r="N1826" s="74"/>
    </row>
    <row r="1827" spans="14:14" x14ac:dyDescent="0.25">
      <c r="N1827" s="74"/>
    </row>
    <row r="1828" spans="14:14" x14ac:dyDescent="0.25">
      <c r="N1828" s="74"/>
    </row>
    <row r="1829" spans="14:14" x14ac:dyDescent="0.25">
      <c r="N1829" s="74"/>
    </row>
    <row r="1830" spans="14:14" x14ac:dyDescent="0.25">
      <c r="N1830" s="74"/>
    </row>
    <row r="1831" spans="14:14" x14ac:dyDescent="0.25">
      <c r="N1831" s="74"/>
    </row>
    <row r="1832" spans="14:14" x14ac:dyDescent="0.25">
      <c r="N1832" s="74"/>
    </row>
    <row r="1833" spans="14:14" x14ac:dyDescent="0.25">
      <c r="N1833" s="74"/>
    </row>
    <row r="1834" spans="14:14" x14ac:dyDescent="0.25">
      <c r="N1834" s="74"/>
    </row>
    <row r="1835" spans="14:14" x14ac:dyDescent="0.25">
      <c r="N1835" s="74"/>
    </row>
    <row r="1836" spans="14:14" x14ac:dyDescent="0.25">
      <c r="N1836" s="74"/>
    </row>
    <row r="1837" spans="14:14" x14ac:dyDescent="0.25">
      <c r="N1837" s="74"/>
    </row>
    <row r="1838" spans="14:14" x14ac:dyDescent="0.25">
      <c r="N1838" s="74"/>
    </row>
    <row r="1839" spans="14:14" x14ac:dyDescent="0.25">
      <c r="N1839" s="74"/>
    </row>
    <row r="1840" spans="14:14" x14ac:dyDescent="0.25">
      <c r="N1840" s="74"/>
    </row>
    <row r="1841" spans="14:14" x14ac:dyDescent="0.25">
      <c r="N1841" s="74"/>
    </row>
    <row r="1842" spans="14:14" x14ac:dyDescent="0.25">
      <c r="N1842" s="74"/>
    </row>
    <row r="1843" spans="14:14" x14ac:dyDescent="0.25">
      <c r="N1843" s="74"/>
    </row>
    <row r="1844" spans="14:14" x14ac:dyDescent="0.25">
      <c r="N1844" s="74"/>
    </row>
    <row r="1845" spans="14:14" x14ac:dyDescent="0.25">
      <c r="N1845" s="74"/>
    </row>
    <row r="1846" spans="14:14" x14ac:dyDescent="0.25">
      <c r="N1846" s="74"/>
    </row>
    <row r="1847" spans="14:14" x14ac:dyDescent="0.25">
      <c r="N1847" s="74"/>
    </row>
    <row r="1848" spans="14:14" x14ac:dyDescent="0.25">
      <c r="N1848" s="74"/>
    </row>
    <row r="1849" spans="14:14" x14ac:dyDescent="0.25">
      <c r="N1849" s="74"/>
    </row>
    <row r="1850" spans="14:14" x14ac:dyDescent="0.25">
      <c r="N1850" s="74"/>
    </row>
    <row r="1851" spans="14:14" x14ac:dyDescent="0.25">
      <c r="N1851" s="74"/>
    </row>
    <row r="1852" spans="14:14" x14ac:dyDescent="0.25">
      <c r="N1852" s="74"/>
    </row>
    <row r="1853" spans="14:14" x14ac:dyDescent="0.25">
      <c r="N1853" s="74"/>
    </row>
    <row r="1854" spans="14:14" x14ac:dyDescent="0.25">
      <c r="N1854" s="74"/>
    </row>
    <row r="1855" spans="14:14" x14ac:dyDescent="0.25">
      <c r="N1855" s="74"/>
    </row>
    <row r="1856" spans="14:14" x14ac:dyDescent="0.25">
      <c r="N1856" s="74"/>
    </row>
    <row r="1857" spans="14:14" x14ac:dyDescent="0.25">
      <c r="N1857" s="74"/>
    </row>
    <row r="1858" spans="14:14" x14ac:dyDescent="0.25">
      <c r="N1858" s="74"/>
    </row>
    <row r="1859" spans="14:14" x14ac:dyDescent="0.25">
      <c r="N1859" s="74"/>
    </row>
    <row r="1860" spans="14:14" x14ac:dyDescent="0.25">
      <c r="N1860" s="74"/>
    </row>
    <row r="1861" spans="14:14" x14ac:dyDescent="0.25">
      <c r="N1861" s="74"/>
    </row>
    <row r="1862" spans="14:14" x14ac:dyDescent="0.25">
      <c r="N1862" s="74"/>
    </row>
    <row r="1863" spans="14:14" x14ac:dyDescent="0.25">
      <c r="N1863" s="74"/>
    </row>
    <row r="1864" spans="14:14" x14ac:dyDescent="0.25">
      <c r="N1864" s="74"/>
    </row>
    <row r="1865" spans="14:14" x14ac:dyDescent="0.25">
      <c r="N1865" s="74"/>
    </row>
    <row r="1866" spans="14:14" x14ac:dyDescent="0.25">
      <c r="N1866" s="74"/>
    </row>
    <row r="1867" spans="14:14" x14ac:dyDescent="0.25">
      <c r="N1867" s="74"/>
    </row>
    <row r="1868" spans="14:14" x14ac:dyDescent="0.25">
      <c r="N1868" s="74"/>
    </row>
    <row r="1869" spans="14:14" x14ac:dyDescent="0.25">
      <c r="N1869" s="74"/>
    </row>
    <row r="1870" spans="14:14" x14ac:dyDescent="0.25">
      <c r="N1870" s="74"/>
    </row>
    <row r="1871" spans="14:14" x14ac:dyDescent="0.25">
      <c r="N1871" s="74"/>
    </row>
    <row r="1872" spans="14:14" x14ac:dyDescent="0.25">
      <c r="N1872" s="74"/>
    </row>
    <row r="1873" spans="14:14" x14ac:dyDescent="0.25">
      <c r="N1873" s="74"/>
    </row>
    <row r="1874" spans="14:14" x14ac:dyDescent="0.25">
      <c r="N1874" s="74"/>
    </row>
    <row r="1875" spans="14:14" x14ac:dyDescent="0.25">
      <c r="N1875" s="74"/>
    </row>
    <row r="1876" spans="14:14" x14ac:dyDescent="0.25">
      <c r="N1876" s="74"/>
    </row>
    <row r="1877" spans="14:14" x14ac:dyDescent="0.25">
      <c r="N1877" s="74"/>
    </row>
    <row r="1878" spans="14:14" x14ac:dyDescent="0.25">
      <c r="N1878" s="74"/>
    </row>
    <row r="1879" spans="14:14" x14ac:dyDescent="0.25">
      <c r="N1879" s="74"/>
    </row>
    <row r="1880" spans="14:14" x14ac:dyDescent="0.25">
      <c r="N1880" s="74"/>
    </row>
    <row r="1881" spans="14:14" x14ac:dyDescent="0.25">
      <c r="N1881" s="74"/>
    </row>
    <row r="1882" spans="14:14" x14ac:dyDescent="0.25">
      <c r="N1882" s="74"/>
    </row>
    <row r="1883" spans="14:14" x14ac:dyDescent="0.25">
      <c r="N1883" s="74"/>
    </row>
    <row r="1884" spans="14:14" x14ac:dyDescent="0.25">
      <c r="N1884" s="74"/>
    </row>
    <row r="1885" spans="14:14" x14ac:dyDescent="0.25">
      <c r="N1885" s="74"/>
    </row>
    <row r="1886" spans="14:14" x14ac:dyDescent="0.25">
      <c r="N1886" s="74"/>
    </row>
    <row r="1887" spans="14:14" x14ac:dyDescent="0.25">
      <c r="N1887" s="74"/>
    </row>
    <row r="1888" spans="14:14" x14ac:dyDescent="0.25">
      <c r="N1888" s="74"/>
    </row>
    <row r="1889" spans="14:14" x14ac:dyDescent="0.25">
      <c r="N1889" s="74"/>
    </row>
    <row r="1890" spans="14:14" x14ac:dyDescent="0.25">
      <c r="N1890" s="74"/>
    </row>
    <row r="1891" spans="14:14" x14ac:dyDescent="0.25">
      <c r="N1891" s="74"/>
    </row>
    <row r="1892" spans="14:14" x14ac:dyDescent="0.25">
      <c r="N1892" s="74"/>
    </row>
    <row r="1893" spans="14:14" x14ac:dyDescent="0.25">
      <c r="N1893" s="74"/>
    </row>
    <row r="1894" spans="14:14" x14ac:dyDescent="0.25">
      <c r="N1894" s="74"/>
    </row>
    <row r="1895" spans="14:14" x14ac:dyDescent="0.25">
      <c r="N1895" s="74"/>
    </row>
    <row r="1896" spans="14:14" x14ac:dyDescent="0.25">
      <c r="N1896" s="74"/>
    </row>
    <row r="1897" spans="14:14" x14ac:dyDescent="0.25">
      <c r="N1897" s="74"/>
    </row>
    <row r="1898" spans="14:14" x14ac:dyDescent="0.25">
      <c r="N1898" s="74"/>
    </row>
    <row r="1899" spans="14:14" x14ac:dyDescent="0.25">
      <c r="N1899" s="74"/>
    </row>
    <row r="1900" spans="14:14" x14ac:dyDescent="0.25">
      <c r="N1900" s="74"/>
    </row>
    <row r="1901" spans="14:14" x14ac:dyDescent="0.25">
      <c r="N1901" s="74"/>
    </row>
    <row r="1902" spans="14:14" x14ac:dyDescent="0.25">
      <c r="N1902" s="74"/>
    </row>
    <row r="1903" spans="14:14" x14ac:dyDescent="0.25">
      <c r="N1903" s="74"/>
    </row>
    <row r="1904" spans="14:14" x14ac:dyDescent="0.25">
      <c r="N1904" s="74"/>
    </row>
    <row r="1905" spans="14:14" x14ac:dyDescent="0.25">
      <c r="N1905" s="74"/>
    </row>
    <row r="1906" spans="14:14" x14ac:dyDescent="0.25">
      <c r="N1906" s="74"/>
    </row>
    <row r="1907" spans="14:14" x14ac:dyDescent="0.25">
      <c r="N1907" s="74"/>
    </row>
    <row r="1908" spans="14:14" x14ac:dyDescent="0.25">
      <c r="N1908" s="74"/>
    </row>
    <row r="1909" spans="14:14" x14ac:dyDescent="0.25">
      <c r="N1909" s="74"/>
    </row>
    <row r="1910" spans="14:14" x14ac:dyDescent="0.25">
      <c r="N1910" s="74"/>
    </row>
    <row r="1911" spans="14:14" x14ac:dyDescent="0.25">
      <c r="N1911" s="74"/>
    </row>
    <row r="1912" spans="14:14" x14ac:dyDescent="0.25">
      <c r="N1912" s="74"/>
    </row>
    <row r="1913" spans="14:14" x14ac:dyDescent="0.25">
      <c r="N1913" s="74"/>
    </row>
    <row r="1914" spans="14:14" x14ac:dyDescent="0.25">
      <c r="N1914" s="74"/>
    </row>
    <row r="1915" spans="14:14" x14ac:dyDescent="0.25">
      <c r="N1915" s="74"/>
    </row>
    <row r="1916" spans="14:14" x14ac:dyDescent="0.25">
      <c r="N1916" s="74"/>
    </row>
    <row r="1917" spans="14:14" x14ac:dyDescent="0.25">
      <c r="N1917" s="74"/>
    </row>
    <row r="1918" spans="14:14" x14ac:dyDescent="0.25">
      <c r="N1918" s="74"/>
    </row>
    <row r="1919" spans="14:14" x14ac:dyDescent="0.25">
      <c r="N1919" s="74"/>
    </row>
    <row r="1920" spans="14:14" x14ac:dyDescent="0.25">
      <c r="N1920" s="74"/>
    </row>
    <row r="1921" spans="14:14" x14ac:dyDescent="0.25">
      <c r="N1921" s="74"/>
    </row>
    <row r="1922" spans="14:14" x14ac:dyDescent="0.25">
      <c r="N1922" s="74"/>
    </row>
    <row r="1923" spans="14:14" x14ac:dyDescent="0.25">
      <c r="N1923" s="74"/>
    </row>
    <row r="1924" spans="14:14" x14ac:dyDescent="0.25">
      <c r="N1924" s="74"/>
    </row>
    <row r="1925" spans="14:14" x14ac:dyDescent="0.25">
      <c r="N1925" s="74"/>
    </row>
    <row r="1926" spans="14:14" x14ac:dyDescent="0.25">
      <c r="N1926" s="74"/>
    </row>
    <row r="1927" spans="14:14" x14ac:dyDescent="0.25">
      <c r="N1927" s="74"/>
    </row>
    <row r="1928" spans="14:14" x14ac:dyDescent="0.25">
      <c r="N1928" s="74"/>
    </row>
  </sheetData>
  <mergeCells count="4">
    <mergeCell ref="H3:K3"/>
    <mergeCell ref="H4:L4"/>
    <mergeCell ref="A4:C4"/>
    <mergeCell ref="W2:X2"/>
  </mergeCells>
  <hyperlinks>
    <hyperlink ref="D9" location="'Alternate #2 '!A1" display="A2"/>
    <hyperlink ref="W2" location="'Table of Contents'!A1" display="Table of Contents"/>
  </hyperlinks>
  <pageMargins left="0.7" right="0.7" top="0.75" bottom="0.75" header="0.3" footer="0.3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0"/>
  <sheetViews>
    <sheetView workbookViewId="0">
      <selection activeCell="A26" sqref="A26:G26"/>
    </sheetView>
  </sheetViews>
  <sheetFormatPr defaultRowHeight="12.75" x14ac:dyDescent="0.2"/>
  <cols>
    <col min="1" max="16384" width="9.140625" style="292"/>
  </cols>
  <sheetData>
    <row r="1" spans="1:7" s="578" customFormat="1" x14ac:dyDescent="0.2"/>
    <row r="2" spans="1:7" s="578" customFormat="1" ht="15" x14ac:dyDescent="0.25">
      <c r="D2" s="638" t="s">
        <v>781</v>
      </c>
      <c r="E2" s="638"/>
    </row>
    <row r="3" spans="1:7" s="578" customFormat="1" x14ac:dyDescent="0.2"/>
    <row r="4" spans="1:7" s="578" customFormat="1" x14ac:dyDescent="0.2">
      <c r="A4" s="639" t="s">
        <v>776</v>
      </c>
      <c r="B4" s="639"/>
      <c r="C4" s="639"/>
      <c r="D4" s="639"/>
      <c r="E4" s="639"/>
      <c r="F4" s="639"/>
      <c r="G4" s="639"/>
    </row>
    <row r="5" spans="1:7" x14ac:dyDescent="0.2">
      <c r="A5" s="637" t="s">
        <v>102</v>
      </c>
      <c r="B5" s="637"/>
      <c r="C5" s="637"/>
      <c r="D5" s="637"/>
      <c r="E5" s="637"/>
      <c r="F5" s="637"/>
      <c r="G5" s="637"/>
    </row>
    <row r="6" spans="1:7" x14ac:dyDescent="0.2">
      <c r="A6" s="637" t="s">
        <v>103</v>
      </c>
      <c r="B6" s="637"/>
      <c r="C6" s="637"/>
      <c r="D6" s="637"/>
      <c r="E6" s="637"/>
      <c r="F6" s="637"/>
      <c r="G6" s="637"/>
    </row>
    <row r="7" spans="1:7" x14ac:dyDescent="0.2">
      <c r="A7" s="637" t="s">
        <v>105</v>
      </c>
      <c r="B7" s="637"/>
      <c r="C7" s="637"/>
      <c r="D7" s="637"/>
      <c r="E7" s="637"/>
      <c r="F7" s="637"/>
      <c r="G7" s="637"/>
    </row>
    <row r="8" spans="1:7" x14ac:dyDescent="0.2">
      <c r="A8" s="637" t="s">
        <v>785</v>
      </c>
      <c r="B8" s="637"/>
      <c r="C8" s="637"/>
      <c r="D8" s="637"/>
      <c r="E8" s="637"/>
      <c r="F8" s="637"/>
      <c r="G8" s="637"/>
    </row>
    <row r="9" spans="1:7" x14ac:dyDescent="0.2">
      <c r="A9" s="637" t="s">
        <v>144</v>
      </c>
      <c r="B9" s="637"/>
      <c r="C9" s="637"/>
      <c r="D9" s="637"/>
      <c r="E9" s="637"/>
      <c r="F9" s="637"/>
      <c r="G9" s="637"/>
    </row>
    <row r="10" spans="1:7" x14ac:dyDescent="0.2">
      <c r="A10" s="637" t="s">
        <v>145</v>
      </c>
      <c r="B10" s="637"/>
      <c r="C10" s="637"/>
      <c r="D10" s="637"/>
      <c r="E10" s="637"/>
      <c r="F10" s="637"/>
      <c r="G10" s="637"/>
    </row>
    <row r="11" spans="1:7" x14ac:dyDescent="0.2">
      <c r="A11" s="637" t="s">
        <v>143</v>
      </c>
      <c r="B11" s="637"/>
      <c r="C11" s="637"/>
      <c r="D11" s="637"/>
      <c r="E11" s="637"/>
      <c r="F11" s="637"/>
      <c r="G11" s="637"/>
    </row>
    <row r="12" spans="1:7" x14ac:dyDescent="0.2">
      <c r="A12" s="637" t="s">
        <v>188</v>
      </c>
      <c r="B12" s="637"/>
      <c r="C12" s="637"/>
      <c r="D12" s="637"/>
      <c r="E12" s="637"/>
      <c r="F12" s="637"/>
      <c r="G12" s="637"/>
    </row>
    <row r="13" spans="1:7" x14ac:dyDescent="0.2">
      <c r="A13" s="637" t="s">
        <v>189</v>
      </c>
      <c r="B13" s="637"/>
      <c r="C13" s="637"/>
      <c r="D13" s="637"/>
      <c r="E13" s="637"/>
      <c r="F13" s="637"/>
      <c r="G13" s="637"/>
    </row>
    <row r="14" spans="1:7" x14ac:dyDescent="0.2">
      <c r="A14" s="637" t="s">
        <v>786</v>
      </c>
      <c r="B14" s="637"/>
      <c r="C14" s="637"/>
      <c r="D14" s="637"/>
      <c r="E14" s="637"/>
      <c r="F14" s="637"/>
      <c r="G14" s="637"/>
    </row>
    <row r="15" spans="1:7" x14ac:dyDescent="0.2">
      <c r="A15" s="636" t="s">
        <v>206</v>
      </c>
      <c r="B15" s="636"/>
      <c r="C15" s="636"/>
      <c r="D15" s="636"/>
      <c r="E15" s="636"/>
      <c r="F15" s="636"/>
      <c r="G15" s="636"/>
    </row>
    <row r="16" spans="1:7" x14ac:dyDescent="0.2">
      <c r="A16" s="636" t="s">
        <v>225</v>
      </c>
      <c r="B16" s="636"/>
      <c r="C16" s="636"/>
      <c r="D16" s="636"/>
      <c r="E16" s="636"/>
      <c r="F16" s="636"/>
      <c r="G16" s="636"/>
    </row>
    <row r="17" spans="1:7" x14ac:dyDescent="0.2">
      <c r="A17" s="636" t="s">
        <v>787</v>
      </c>
      <c r="B17" s="636"/>
      <c r="C17" s="636"/>
      <c r="D17" s="636"/>
      <c r="E17" s="636"/>
      <c r="F17" s="636"/>
      <c r="G17" s="636"/>
    </row>
    <row r="18" spans="1:7" x14ac:dyDescent="0.2">
      <c r="A18" s="636" t="s">
        <v>232</v>
      </c>
      <c r="B18" s="636"/>
      <c r="C18" s="636"/>
      <c r="D18" s="636"/>
      <c r="E18" s="636"/>
      <c r="F18" s="636"/>
      <c r="G18" s="636"/>
    </row>
    <row r="19" spans="1:7" x14ac:dyDescent="0.2">
      <c r="A19" s="636" t="s">
        <v>235</v>
      </c>
      <c r="B19" s="636"/>
      <c r="C19" s="636"/>
      <c r="D19" s="636"/>
      <c r="E19" s="636"/>
      <c r="F19" s="636"/>
      <c r="G19" s="636"/>
    </row>
    <row r="20" spans="1:7" x14ac:dyDescent="0.2">
      <c r="A20" s="636" t="s">
        <v>245</v>
      </c>
      <c r="B20" s="636"/>
      <c r="C20" s="636"/>
      <c r="D20" s="636"/>
      <c r="E20" s="636"/>
      <c r="F20" s="636"/>
      <c r="G20" s="636"/>
    </row>
    <row r="21" spans="1:7" x14ac:dyDescent="0.2">
      <c r="A21" s="636" t="s">
        <v>305</v>
      </c>
      <c r="B21" s="636"/>
      <c r="C21" s="636"/>
      <c r="D21" s="636"/>
      <c r="E21" s="636"/>
      <c r="F21" s="636"/>
      <c r="G21" s="636"/>
    </row>
    <row r="22" spans="1:7" x14ac:dyDescent="0.2">
      <c r="A22" s="636" t="s">
        <v>286</v>
      </c>
      <c r="B22" s="636"/>
      <c r="C22" s="636"/>
      <c r="D22" s="636"/>
      <c r="E22" s="636"/>
      <c r="F22" s="636"/>
      <c r="G22" s="636"/>
    </row>
    <row r="23" spans="1:7" x14ac:dyDescent="0.2">
      <c r="A23" s="636" t="s">
        <v>788</v>
      </c>
      <c r="B23" s="636"/>
      <c r="C23" s="636"/>
      <c r="D23" s="636"/>
      <c r="E23" s="636"/>
      <c r="F23" s="636"/>
      <c r="G23" s="636"/>
    </row>
    <row r="24" spans="1:7" x14ac:dyDescent="0.2">
      <c r="A24" s="636" t="s">
        <v>789</v>
      </c>
      <c r="B24" s="636"/>
      <c r="C24" s="636"/>
      <c r="D24" s="636"/>
      <c r="E24" s="636"/>
      <c r="F24" s="636"/>
      <c r="G24" s="636"/>
    </row>
    <row r="25" spans="1:7" x14ac:dyDescent="0.2">
      <c r="A25" s="636" t="s">
        <v>545</v>
      </c>
      <c r="B25" s="636"/>
      <c r="C25" s="636"/>
      <c r="D25" s="636"/>
      <c r="E25" s="636"/>
      <c r="F25" s="636"/>
      <c r="G25" s="636"/>
    </row>
    <row r="26" spans="1:7" x14ac:dyDescent="0.2">
      <c r="A26" s="636" t="s">
        <v>790</v>
      </c>
      <c r="B26" s="636"/>
      <c r="C26" s="636"/>
      <c r="D26" s="636"/>
      <c r="E26" s="636"/>
      <c r="F26" s="636"/>
      <c r="G26" s="636"/>
    </row>
    <row r="27" spans="1:7" x14ac:dyDescent="0.2">
      <c r="A27" s="636" t="s">
        <v>680</v>
      </c>
      <c r="B27" s="636"/>
      <c r="C27" s="636"/>
      <c r="D27" s="636"/>
      <c r="E27" s="636"/>
      <c r="F27" s="636"/>
      <c r="G27" s="636"/>
    </row>
    <row r="28" spans="1:7" x14ac:dyDescent="0.2">
      <c r="A28" s="636" t="s">
        <v>681</v>
      </c>
      <c r="B28" s="636"/>
      <c r="C28" s="636"/>
      <c r="D28" s="636"/>
      <c r="E28" s="636"/>
      <c r="F28" s="636"/>
      <c r="G28" s="636"/>
    </row>
    <row r="29" spans="1:7" x14ac:dyDescent="0.2">
      <c r="A29" s="636" t="s">
        <v>694</v>
      </c>
      <c r="B29" s="636"/>
      <c r="C29" s="636"/>
      <c r="D29" s="636"/>
      <c r="E29" s="636"/>
      <c r="F29" s="636"/>
      <c r="G29" s="636"/>
    </row>
    <row r="30" spans="1:7" x14ac:dyDescent="0.2">
      <c r="A30" s="636" t="s">
        <v>695</v>
      </c>
      <c r="B30" s="636"/>
      <c r="C30" s="636"/>
      <c r="D30" s="636"/>
      <c r="E30" s="636"/>
      <c r="F30" s="636"/>
      <c r="G30" s="636"/>
    </row>
  </sheetData>
  <mergeCells count="28">
    <mergeCell ref="A27:G27"/>
    <mergeCell ref="A28:G28"/>
    <mergeCell ref="A29:G29"/>
    <mergeCell ref="A30:G30"/>
    <mergeCell ref="D2:E2"/>
    <mergeCell ref="A22:G22"/>
    <mergeCell ref="A23:G23"/>
    <mergeCell ref="A24:G24"/>
    <mergeCell ref="A25:G25"/>
    <mergeCell ref="A26:G26"/>
    <mergeCell ref="A13:G13"/>
    <mergeCell ref="A14:G14"/>
    <mergeCell ref="A15:G15"/>
    <mergeCell ref="A16:G16"/>
    <mergeCell ref="A17:G17"/>
    <mergeCell ref="A4:G4"/>
    <mergeCell ref="A5:G5"/>
    <mergeCell ref="A6:G6"/>
    <mergeCell ref="A7:G7"/>
    <mergeCell ref="A8:G8"/>
    <mergeCell ref="A9:G9"/>
    <mergeCell ref="A20:G20"/>
    <mergeCell ref="A21:G21"/>
    <mergeCell ref="A10:G10"/>
    <mergeCell ref="A11:G11"/>
    <mergeCell ref="A12:G12"/>
    <mergeCell ref="A18:G18"/>
    <mergeCell ref="A19:G19"/>
  </mergeCells>
  <hyperlinks>
    <hyperlink ref="D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D6" sqref="D6"/>
    </sheetView>
  </sheetViews>
  <sheetFormatPr defaultColWidth="10" defaultRowHeight="12.75" x14ac:dyDescent="0.2"/>
  <cols>
    <col min="1" max="1" width="5.7109375" style="197" customWidth="1"/>
    <col min="2" max="2" width="17.7109375" style="197" customWidth="1"/>
    <col min="3" max="3" width="16.7109375" style="197" bestFit="1" customWidth="1"/>
    <col min="4" max="6" width="10.7109375" style="197" customWidth="1"/>
    <col min="7" max="7" width="14.85546875" style="255" bestFit="1" customWidth="1"/>
    <col min="8" max="8" width="12.7109375" style="197" customWidth="1"/>
    <col min="9" max="10" width="6.85546875" style="197" customWidth="1"/>
    <col min="11" max="11" width="7" style="197" customWidth="1"/>
    <col min="12" max="12" width="7.85546875" style="197" customWidth="1"/>
    <col min="13" max="14" width="10" style="197"/>
    <col min="15" max="15" width="12.7109375" style="197" bestFit="1" customWidth="1"/>
    <col min="16" max="256" width="10" style="197"/>
    <col min="257" max="257" width="5.7109375" style="197" customWidth="1"/>
    <col min="258" max="258" width="17.7109375" style="197" customWidth="1"/>
    <col min="259" max="259" width="15.7109375" style="197" customWidth="1"/>
    <col min="260" max="263" width="10.7109375" style="197" customWidth="1"/>
    <col min="264" max="264" width="12.7109375" style="197" customWidth="1"/>
    <col min="265" max="266" width="6.85546875" style="197" customWidth="1"/>
    <col min="267" max="267" width="7" style="197" customWidth="1"/>
    <col min="268" max="268" width="7.85546875" style="197" customWidth="1"/>
    <col min="269" max="512" width="10" style="197"/>
    <col min="513" max="513" width="5.7109375" style="197" customWidth="1"/>
    <col min="514" max="514" width="17.7109375" style="197" customWidth="1"/>
    <col min="515" max="515" width="15.7109375" style="197" customWidth="1"/>
    <col min="516" max="519" width="10.7109375" style="197" customWidth="1"/>
    <col min="520" max="520" width="12.7109375" style="197" customWidth="1"/>
    <col min="521" max="522" width="6.85546875" style="197" customWidth="1"/>
    <col min="523" max="523" width="7" style="197" customWidth="1"/>
    <col min="524" max="524" width="7.85546875" style="197" customWidth="1"/>
    <col min="525" max="768" width="10" style="197"/>
    <col min="769" max="769" width="5.7109375" style="197" customWidth="1"/>
    <col min="770" max="770" width="17.7109375" style="197" customWidth="1"/>
    <col min="771" max="771" width="15.7109375" style="197" customWidth="1"/>
    <col min="772" max="775" width="10.7109375" style="197" customWidth="1"/>
    <col min="776" max="776" width="12.7109375" style="197" customWidth="1"/>
    <col min="777" max="778" width="6.85546875" style="197" customWidth="1"/>
    <col min="779" max="779" width="7" style="197" customWidth="1"/>
    <col min="780" max="780" width="7.85546875" style="197" customWidth="1"/>
    <col min="781" max="1024" width="10" style="197"/>
    <col min="1025" max="1025" width="5.7109375" style="197" customWidth="1"/>
    <col min="1026" max="1026" width="17.7109375" style="197" customWidth="1"/>
    <col min="1027" max="1027" width="15.7109375" style="197" customWidth="1"/>
    <col min="1028" max="1031" width="10.7109375" style="197" customWidth="1"/>
    <col min="1032" max="1032" width="12.7109375" style="197" customWidth="1"/>
    <col min="1033" max="1034" width="6.85546875" style="197" customWidth="1"/>
    <col min="1035" max="1035" width="7" style="197" customWidth="1"/>
    <col min="1036" max="1036" width="7.85546875" style="197" customWidth="1"/>
    <col min="1037" max="1280" width="10" style="197"/>
    <col min="1281" max="1281" width="5.7109375" style="197" customWidth="1"/>
    <col min="1282" max="1282" width="17.7109375" style="197" customWidth="1"/>
    <col min="1283" max="1283" width="15.7109375" style="197" customWidth="1"/>
    <col min="1284" max="1287" width="10.7109375" style="197" customWidth="1"/>
    <col min="1288" max="1288" width="12.7109375" style="197" customWidth="1"/>
    <col min="1289" max="1290" width="6.85546875" style="197" customWidth="1"/>
    <col min="1291" max="1291" width="7" style="197" customWidth="1"/>
    <col min="1292" max="1292" width="7.85546875" style="197" customWidth="1"/>
    <col min="1293" max="1536" width="10" style="197"/>
    <col min="1537" max="1537" width="5.7109375" style="197" customWidth="1"/>
    <col min="1538" max="1538" width="17.7109375" style="197" customWidth="1"/>
    <col min="1539" max="1539" width="15.7109375" style="197" customWidth="1"/>
    <col min="1540" max="1543" width="10.7109375" style="197" customWidth="1"/>
    <col min="1544" max="1544" width="12.7109375" style="197" customWidth="1"/>
    <col min="1545" max="1546" width="6.85546875" style="197" customWidth="1"/>
    <col min="1547" max="1547" width="7" style="197" customWidth="1"/>
    <col min="1548" max="1548" width="7.85546875" style="197" customWidth="1"/>
    <col min="1549" max="1792" width="10" style="197"/>
    <col min="1793" max="1793" width="5.7109375" style="197" customWidth="1"/>
    <col min="1794" max="1794" width="17.7109375" style="197" customWidth="1"/>
    <col min="1795" max="1795" width="15.7109375" style="197" customWidth="1"/>
    <col min="1796" max="1799" width="10.7109375" style="197" customWidth="1"/>
    <col min="1800" max="1800" width="12.7109375" style="197" customWidth="1"/>
    <col min="1801" max="1802" width="6.85546875" style="197" customWidth="1"/>
    <col min="1803" max="1803" width="7" style="197" customWidth="1"/>
    <col min="1804" max="1804" width="7.85546875" style="197" customWidth="1"/>
    <col min="1805" max="2048" width="10" style="197"/>
    <col min="2049" max="2049" width="5.7109375" style="197" customWidth="1"/>
    <col min="2050" max="2050" width="17.7109375" style="197" customWidth="1"/>
    <col min="2051" max="2051" width="15.7109375" style="197" customWidth="1"/>
    <col min="2052" max="2055" width="10.7109375" style="197" customWidth="1"/>
    <col min="2056" max="2056" width="12.7109375" style="197" customWidth="1"/>
    <col min="2057" max="2058" width="6.85546875" style="197" customWidth="1"/>
    <col min="2059" max="2059" width="7" style="197" customWidth="1"/>
    <col min="2060" max="2060" width="7.85546875" style="197" customWidth="1"/>
    <col min="2061" max="2304" width="10" style="197"/>
    <col min="2305" max="2305" width="5.7109375" style="197" customWidth="1"/>
    <col min="2306" max="2306" width="17.7109375" style="197" customWidth="1"/>
    <col min="2307" max="2307" width="15.7109375" style="197" customWidth="1"/>
    <col min="2308" max="2311" width="10.7109375" style="197" customWidth="1"/>
    <col min="2312" max="2312" width="12.7109375" style="197" customWidth="1"/>
    <col min="2313" max="2314" width="6.85546875" style="197" customWidth="1"/>
    <col min="2315" max="2315" width="7" style="197" customWidth="1"/>
    <col min="2316" max="2316" width="7.85546875" style="197" customWidth="1"/>
    <col min="2317" max="2560" width="10" style="197"/>
    <col min="2561" max="2561" width="5.7109375" style="197" customWidth="1"/>
    <col min="2562" max="2562" width="17.7109375" style="197" customWidth="1"/>
    <col min="2563" max="2563" width="15.7109375" style="197" customWidth="1"/>
    <col min="2564" max="2567" width="10.7109375" style="197" customWidth="1"/>
    <col min="2568" max="2568" width="12.7109375" style="197" customWidth="1"/>
    <col min="2569" max="2570" width="6.85546875" style="197" customWidth="1"/>
    <col min="2571" max="2571" width="7" style="197" customWidth="1"/>
    <col min="2572" max="2572" width="7.85546875" style="197" customWidth="1"/>
    <col min="2573" max="2816" width="10" style="197"/>
    <col min="2817" max="2817" width="5.7109375" style="197" customWidth="1"/>
    <col min="2818" max="2818" width="17.7109375" style="197" customWidth="1"/>
    <col min="2819" max="2819" width="15.7109375" style="197" customWidth="1"/>
    <col min="2820" max="2823" width="10.7109375" style="197" customWidth="1"/>
    <col min="2824" max="2824" width="12.7109375" style="197" customWidth="1"/>
    <col min="2825" max="2826" width="6.85546875" style="197" customWidth="1"/>
    <col min="2827" max="2827" width="7" style="197" customWidth="1"/>
    <col min="2828" max="2828" width="7.85546875" style="197" customWidth="1"/>
    <col min="2829" max="3072" width="10" style="197"/>
    <col min="3073" max="3073" width="5.7109375" style="197" customWidth="1"/>
    <col min="3074" max="3074" width="17.7109375" style="197" customWidth="1"/>
    <col min="3075" max="3075" width="15.7109375" style="197" customWidth="1"/>
    <col min="3076" max="3079" width="10.7109375" style="197" customWidth="1"/>
    <col min="3080" max="3080" width="12.7109375" style="197" customWidth="1"/>
    <col min="3081" max="3082" width="6.85546875" style="197" customWidth="1"/>
    <col min="3083" max="3083" width="7" style="197" customWidth="1"/>
    <col min="3084" max="3084" width="7.85546875" style="197" customWidth="1"/>
    <col min="3085" max="3328" width="10" style="197"/>
    <col min="3329" max="3329" width="5.7109375" style="197" customWidth="1"/>
    <col min="3330" max="3330" width="17.7109375" style="197" customWidth="1"/>
    <col min="3331" max="3331" width="15.7109375" style="197" customWidth="1"/>
    <col min="3332" max="3335" width="10.7109375" style="197" customWidth="1"/>
    <col min="3336" max="3336" width="12.7109375" style="197" customWidth="1"/>
    <col min="3337" max="3338" width="6.85546875" style="197" customWidth="1"/>
    <col min="3339" max="3339" width="7" style="197" customWidth="1"/>
    <col min="3340" max="3340" width="7.85546875" style="197" customWidth="1"/>
    <col min="3341" max="3584" width="10" style="197"/>
    <col min="3585" max="3585" width="5.7109375" style="197" customWidth="1"/>
    <col min="3586" max="3586" width="17.7109375" style="197" customWidth="1"/>
    <col min="3587" max="3587" width="15.7109375" style="197" customWidth="1"/>
    <col min="3588" max="3591" width="10.7109375" style="197" customWidth="1"/>
    <col min="3592" max="3592" width="12.7109375" style="197" customWidth="1"/>
    <col min="3593" max="3594" width="6.85546875" style="197" customWidth="1"/>
    <col min="3595" max="3595" width="7" style="197" customWidth="1"/>
    <col min="3596" max="3596" width="7.85546875" style="197" customWidth="1"/>
    <col min="3597" max="3840" width="10" style="197"/>
    <col min="3841" max="3841" width="5.7109375" style="197" customWidth="1"/>
    <col min="3842" max="3842" width="17.7109375" style="197" customWidth="1"/>
    <col min="3843" max="3843" width="15.7109375" style="197" customWidth="1"/>
    <col min="3844" max="3847" width="10.7109375" style="197" customWidth="1"/>
    <col min="3848" max="3848" width="12.7109375" style="197" customWidth="1"/>
    <col min="3849" max="3850" width="6.85546875" style="197" customWidth="1"/>
    <col min="3851" max="3851" width="7" style="197" customWidth="1"/>
    <col min="3852" max="3852" width="7.85546875" style="197" customWidth="1"/>
    <col min="3853" max="4096" width="10" style="197"/>
    <col min="4097" max="4097" width="5.7109375" style="197" customWidth="1"/>
    <col min="4098" max="4098" width="17.7109375" style="197" customWidth="1"/>
    <col min="4099" max="4099" width="15.7109375" style="197" customWidth="1"/>
    <col min="4100" max="4103" width="10.7109375" style="197" customWidth="1"/>
    <col min="4104" max="4104" width="12.7109375" style="197" customWidth="1"/>
    <col min="4105" max="4106" width="6.85546875" style="197" customWidth="1"/>
    <col min="4107" max="4107" width="7" style="197" customWidth="1"/>
    <col min="4108" max="4108" width="7.85546875" style="197" customWidth="1"/>
    <col min="4109" max="4352" width="10" style="197"/>
    <col min="4353" max="4353" width="5.7109375" style="197" customWidth="1"/>
    <col min="4354" max="4354" width="17.7109375" style="197" customWidth="1"/>
    <col min="4355" max="4355" width="15.7109375" style="197" customWidth="1"/>
    <col min="4356" max="4359" width="10.7109375" style="197" customWidth="1"/>
    <col min="4360" max="4360" width="12.7109375" style="197" customWidth="1"/>
    <col min="4361" max="4362" width="6.85546875" style="197" customWidth="1"/>
    <col min="4363" max="4363" width="7" style="197" customWidth="1"/>
    <col min="4364" max="4364" width="7.85546875" style="197" customWidth="1"/>
    <col min="4365" max="4608" width="10" style="197"/>
    <col min="4609" max="4609" width="5.7109375" style="197" customWidth="1"/>
    <col min="4610" max="4610" width="17.7109375" style="197" customWidth="1"/>
    <col min="4611" max="4611" width="15.7109375" style="197" customWidth="1"/>
    <col min="4612" max="4615" width="10.7109375" style="197" customWidth="1"/>
    <col min="4616" max="4616" width="12.7109375" style="197" customWidth="1"/>
    <col min="4617" max="4618" width="6.85546875" style="197" customWidth="1"/>
    <col min="4619" max="4619" width="7" style="197" customWidth="1"/>
    <col min="4620" max="4620" width="7.85546875" style="197" customWidth="1"/>
    <col min="4621" max="4864" width="10" style="197"/>
    <col min="4865" max="4865" width="5.7109375" style="197" customWidth="1"/>
    <col min="4866" max="4866" width="17.7109375" style="197" customWidth="1"/>
    <col min="4867" max="4867" width="15.7109375" style="197" customWidth="1"/>
    <col min="4868" max="4871" width="10.7109375" style="197" customWidth="1"/>
    <col min="4872" max="4872" width="12.7109375" style="197" customWidth="1"/>
    <col min="4873" max="4874" width="6.85546875" style="197" customWidth="1"/>
    <col min="4875" max="4875" width="7" style="197" customWidth="1"/>
    <col min="4876" max="4876" width="7.85546875" style="197" customWidth="1"/>
    <col min="4877" max="5120" width="10" style="197"/>
    <col min="5121" max="5121" width="5.7109375" style="197" customWidth="1"/>
    <col min="5122" max="5122" width="17.7109375" style="197" customWidth="1"/>
    <col min="5123" max="5123" width="15.7109375" style="197" customWidth="1"/>
    <col min="5124" max="5127" width="10.7109375" style="197" customWidth="1"/>
    <col min="5128" max="5128" width="12.7109375" style="197" customWidth="1"/>
    <col min="5129" max="5130" width="6.85546875" style="197" customWidth="1"/>
    <col min="5131" max="5131" width="7" style="197" customWidth="1"/>
    <col min="5132" max="5132" width="7.85546875" style="197" customWidth="1"/>
    <col min="5133" max="5376" width="10" style="197"/>
    <col min="5377" max="5377" width="5.7109375" style="197" customWidth="1"/>
    <col min="5378" max="5378" width="17.7109375" style="197" customWidth="1"/>
    <col min="5379" max="5379" width="15.7109375" style="197" customWidth="1"/>
    <col min="5380" max="5383" width="10.7109375" style="197" customWidth="1"/>
    <col min="5384" max="5384" width="12.7109375" style="197" customWidth="1"/>
    <col min="5385" max="5386" width="6.85546875" style="197" customWidth="1"/>
    <col min="5387" max="5387" width="7" style="197" customWidth="1"/>
    <col min="5388" max="5388" width="7.85546875" style="197" customWidth="1"/>
    <col min="5389" max="5632" width="10" style="197"/>
    <col min="5633" max="5633" width="5.7109375" style="197" customWidth="1"/>
    <col min="5634" max="5634" width="17.7109375" style="197" customWidth="1"/>
    <col min="5635" max="5635" width="15.7109375" style="197" customWidth="1"/>
    <col min="5636" max="5639" width="10.7109375" style="197" customWidth="1"/>
    <col min="5640" max="5640" width="12.7109375" style="197" customWidth="1"/>
    <col min="5641" max="5642" width="6.85546875" style="197" customWidth="1"/>
    <col min="5643" max="5643" width="7" style="197" customWidth="1"/>
    <col min="5644" max="5644" width="7.85546875" style="197" customWidth="1"/>
    <col min="5645" max="5888" width="10" style="197"/>
    <col min="5889" max="5889" width="5.7109375" style="197" customWidth="1"/>
    <col min="5890" max="5890" width="17.7109375" style="197" customWidth="1"/>
    <col min="5891" max="5891" width="15.7109375" style="197" customWidth="1"/>
    <col min="5892" max="5895" width="10.7109375" style="197" customWidth="1"/>
    <col min="5896" max="5896" width="12.7109375" style="197" customWidth="1"/>
    <col min="5897" max="5898" width="6.85546875" style="197" customWidth="1"/>
    <col min="5899" max="5899" width="7" style="197" customWidth="1"/>
    <col min="5900" max="5900" width="7.85546875" style="197" customWidth="1"/>
    <col min="5901" max="6144" width="10" style="197"/>
    <col min="6145" max="6145" width="5.7109375" style="197" customWidth="1"/>
    <col min="6146" max="6146" width="17.7109375" style="197" customWidth="1"/>
    <col min="6147" max="6147" width="15.7109375" style="197" customWidth="1"/>
    <col min="6148" max="6151" width="10.7109375" style="197" customWidth="1"/>
    <col min="6152" max="6152" width="12.7109375" style="197" customWidth="1"/>
    <col min="6153" max="6154" width="6.85546875" style="197" customWidth="1"/>
    <col min="6155" max="6155" width="7" style="197" customWidth="1"/>
    <col min="6156" max="6156" width="7.85546875" style="197" customWidth="1"/>
    <col min="6157" max="6400" width="10" style="197"/>
    <col min="6401" max="6401" width="5.7109375" style="197" customWidth="1"/>
    <col min="6402" max="6402" width="17.7109375" style="197" customWidth="1"/>
    <col min="6403" max="6403" width="15.7109375" style="197" customWidth="1"/>
    <col min="6404" max="6407" width="10.7109375" style="197" customWidth="1"/>
    <col min="6408" max="6408" width="12.7109375" style="197" customWidth="1"/>
    <col min="6409" max="6410" width="6.85546875" style="197" customWidth="1"/>
    <col min="6411" max="6411" width="7" style="197" customWidth="1"/>
    <col min="6412" max="6412" width="7.85546875" style="197" customWidth="1"/>
    <col min="6413" max="6656" width="10" style="197"/>
    <col min="6657" max="6657" width="5.7109375" style="197" customWidth="1"/>
    <col min="6658" max="6658" width="17.7109375" style="197" customWidth="1"/>
    <col min="6659" max="6659" width="15.7109375" style="197" customWidth="1"/>
    <col min="6660" max="6663" width="10.7109375" style="197" customWidth="1"/>
    <col min="6664" max="6664" width="12.7109375" style="197" customWidth="1"/>
    <col min="6665" max="6666" width="6.85546875" style="197" customWidth="1"/>
    <col min="6667" max="6667" width="7" style="197" customWidth="1"/>
    <col min="6668" max="6668" width="7.85546875" style="197" customWidth="1"/>
    <col min="6669" max="6912" width="10" style="197"/>
    <col min="6913" max="6913" width="5.7109375" style="197" customWidth="1"/>
    <col min="6914" max="6914" width="17.7109375" style="197" customWidth="1"/>
    <col min="6915" max="6915" width="15.7109375" style="197" customWidth="1"/>
    <col min="6916" max="6919" width="10.7109375" style="197" customWidth="1"/>
    <col min="6920" max="6920" width="12.7109375" style="197" customWidth="1"/>
    <col min="6921" max="6922" width="6.85546875" style="197" customWidth="1"/>
    <col min="6923" max="6923" width="7" style="197" customWidth="1"/>
    <col min="6924" max="6924" width="7.85546875" style="197" customWidth="1"/>
    <col min="6925" max="7168" width="10" style="197"/>
    <col min="7169" max="7169" width="5.7109375" style="197" customWidth="1"/>
    <col min="7170" max="7170" width="17.7109375" style="197" customWidth="1"/>
    <col min="7171" max="7171" width="15.7109375" style="197" customWidth="1"/>
    <col min="7172" max="7175" width="10.7109375" style="197" customWidth="1"/>
    <col min="7176" max="7176" width="12.7109375" style="197" customWidth="1"/>
    <col min="7177" max="7178" width="6.85546875" style="197" customWidth="1"/>
    <col min="7179" max="7179" width="7" style="197" customWidth="1"/>
    <col min="7180" max="7180" width="7.85546875" style="197" customWidth="1"/>
    <col min="7181" max="7424" width="10" style="197"/>
    <col min="7425" max="7425" width="5.7109375" style="197" customWidth="1"/>
    <col min="7426" max="7426" width="17.7109375" style="197" customWidth="1"/>
    <col min="7427" max="7427" width="15.7109375" style="197" customWidth="1"/>
    <col min="7428" max="7431" width="10.7109375" style="197" customWidth="1"/>
    <col min="7432" max="7432" width="12.7109375" style="197" customWidth="1"/>
    <col min="7433" max="7434" width="6.85546875" style="197" customWidth="1"/>
    <col min="7435" max="7435" width="7" style="197" customWidth="1"/>
    <col min="7436" max="7436" width="7.85546875" style="197" customWidth="1"/>
    <col min="7437" max="7680" width="10" style="197"/>
    <col min="7681" max="7681" width="5.7109375" style="197" customWidth="1"/>
    <col min="7682" max="7682" width="17.7109375" style="197" customWidth="1"/>
    <col min="7683" max="7683" width="15.7109375" style="197" customWidth="1"/>
    <col min="7684" max="7687" width="10.7109375" style="197" customWidth="1"/>
    <col min="7688" max="7688" width="12.7109375" style="197" customWidth="1"/>
    <col min="7689" max="7690" width="6.85546875" style="197" customWidth="1"/>
    <col min="7691" max="7691" width="7" style="197" customWidth="1"/>
    <col min="7692" max="7692" width="7.85546875" style="197" customWidth="1"/>
    <col min="7693" max="7936" width="10" style="197"/>
    <col min="7937" max="7937" width="5.7109375" style="197" customWidth="1"/>
    <col min="7938" max="7938" width="17.7109375" style="197" customWidth="1"/>
    <col min="7939" max="7939" width="15.7109375" style="197" customWidth="1"/>
    <col min="7940" max="7943" width="10.7109375" style="197" customWidth="1"/>
    <col min="7944" max="7944" width="12.7109375" style="197" customWidth="1"/>
    <col min="7945" max="7946" width="6.85546875" style="197" customWidth="1"/>
    <col min="7947" max="7947" width="7" style="197" customWidth="1"/>
    <col min="7948" max="7948" width="7.85546875" style="197" customWidth="1"/>
    <col min="7949" max="8192" width="10" style="197"/>
    <col min="8193" max="8193" width="5.7109375" style="197" customWidth="1"/>
    <col min="8194" max="8194" width="17.7109375" style="197" customWidth="1"/>
    <col min="8195" max="8195" width="15.7109375" style="197" customWidth="1"/>
    <col min="8196" max="8199" width="10.7109375" style="197" customWidth="1"/>
    <col min="8200" max="8200" width="12.7109375" style="197" customWidth="1"/>
    <col min="8201" max="8202" width="6.85546875" style="197" customWidth="1"/>
    <col min="8203" max="8203" width="7" style="197" customWidth="1"/>
    <col min="8204" max="8204" width="7.85546875" style="197" customWidth="1"/>
    <col min="8205" max="8448" width="10" style="197"/>
    <col min="8449" max="8449" width="5.7109375" style="197" customWidth="1"/>
    <col min="8450" max="8450" width="17.7109375" style="197" customWidth="1"/>
    <col min="8451" max="8451" width="15.7109375" style="197" customWidth="1"/>
    <col min="8452" max="8455" width="10.7109375" style="197" customWidth="1"/>
    <col min="8456" max="8456" width="12.7109375" style="197" customWidth="1"/>
    <col min="8457" max="8458" width="6.85546875" style="197" customWidth="1"/>
    <col min="8459" max="8459" width="7" style="197" customWidth="1"/>
    <col min="8460" max="8460" width="7.85546875" style="197" customWidth="1"/>
    <col min="8461" max="8704" width="10" style="197"/>
    <col min="8705" max="8705" width="5.7109375" style="197" customWidth="1"/>
    <col min="8706" max="8706" width="17.7109375" style="197" customWidth="1"/>
    <col min="8707" max="8707" width="15.7109375" style="197" customWidth="1"/>
    <col min="8708" max="8711" width="10.7109375" style="197" customWidth="1"/>
    <col min="8712" max="8712" width="12.7109375" style="197" customWidth="1"/>
    <col min="8713" max="8714" width="6.85546875" style="197" customWidth="1"/>
    <col min="8715" max="8715" width="7" style="197" customWidth="1"/>
    <col min="8716" max="8716" width="7.85546875" style="197" customWidth="1"/>
    <col min="8717" max="8960" width="10" style="197"/>
    <col min="8961" max="8961" width="5.7109375" style="197" customWidth="1"/>
    <col min="8962" max="8962" width="17.7109375" style="197" customWidth="1"/>
    <col min="8963" max="8963" width="15.7109375" style="197" customWidth="1"/>
    <col min="8964" max="8967" width="10.7109375" style="197" customWidth="1"/>
    <col min="8968" max="8968" width="12.7109375" style="197" customWidth="1"/>
    <col min="8969" max="8970" width="6.85546875" style="197" customWidth="1"/>
    <col min="8971" max="8971" width="7" style="197" customWidth="1"/>
    <col min="8972" max="8972" width="7.85546875" style="197" customWidth="1"/>
    <col min="8973" max="9216" width="10" style="197"/>
    <col min="9217" max="9217" width="5.7109375" style="197" customWidth="1"/>
    <col min="9218" max="9218" width="17.7109375" style="197" customWidth="1"/>
    <col min="9219" max="9219" width="15.7109375" style="197" customWidth="1"/>
    <col min="9220" max="9223" width="10.7109375" style="197" customWidth="1"/>
    <col min="9224" max="9224" width="12.7109375" style="197" customWidth="1"/>
    <col min="9225" max="9226" width="6.85546875" style="197" customWidth="1"/>
    <col min="9227" max="9227" width="7" style="197" customWidth="1"/>
    <col min="9228" max="9228" width="7.85546875" style="197" customWidth="1"/>
    <col min="9229" max="9472" width="10" style="197"/>
    <col min="9473" max="9473" width="5.7109375" style="197" customWidth="1"/>
    <col min="9474" max="9474" width="17.7109375" style="197" customWidth="1"/>
    <col min="9475" max="9475" width="15.7109375" style="197" customWidth="1"/>
    <col min="9476" max="9479" width="10.7109375" style="197" customWidth="1"/>
    <col min="9480" max="9480" width="12.7109375" style="197" customWidth="1"/>
    <col min="9481" max="9482" width="6.85546875" style="197" customWidth="1"/>
    <col min="9483" max="9483" width="7" style="197" customWidth="1"/>
    <col min="9484" max="9484" width="7.85546875" style="197" customWidth="1"/>
    <col min="9485" max="9728" width="10" style="197"/>
    <col min="9729" max="9729" width="5.7109375" style="197" customWidth="1"/>
    <col min="9730" max="9730" width="17.7109375" style="197" customWidth="1"/>
    <col min="9731" max="9731" width="15.7109375" style="197" customWidth="1"/>
    <col min="9732" max="9735" width="10.7109375" style="197" customWidth="1"/>
    <col min="9736" max="9736" width="12.7109375" style="197" customWidth="1"/>
    <col min="9737" max="9738" width="6.85546875" style="197" customWidth="1"/>
    <col min="9739" max="9739" width="7" style="197" customWidth="1"/>
    <col min="9740" max="9740" width="7.85546875" style="197" customWidth="1"/>
    <col min="9741" max="9984" width="10" style="197"/>
    <col min="9985" max="9985" width="5.7109375" style="197" customWidth="1"/>
    <col min="9986" max="9986" width="17.7109375" style="197" customWidth="1"/>
    <col min="9987" max="9987" width="15.7109375" style="197" customWidth="1"/>
    <col min="9988" max="9991" width="10.7109375" style="197" customWidth="1"/>
    <col min="9992" max="9992" width="12.7109375" style="197" customWidth="1"/>
    <col min="9993" max="9994" width="6.85546875" style="197" customWidth="1"/>
    <col min="9995" max="9995" width="7" style="197" customWidth="1"/>
    <col min="9996" max="9996" width="7.85546875" style="197" customWidth="1"/>
    <col min="9997" max="10240" width="10" style="197"/>
    <col min="10241" max="10241" width="5.7109375" style="197" customWidth="1"/>
    <col min="10242" max="10242" width="17.7109375" style="197" customWidth="1"/>
    <col min="10243" max="10243" width="15.7109375" style="197" customWidth="1"/>
    <col min="10244" max="10247" width="10.7109375" style="197" customWidth="1"/>
    <col min="10248" max="10248" width="12.7109375" style="197" customWidth="1"/>
    <col min="10249" max="10250" width="6.85546875" style="197" customWidth="1"/>
    <col min="10251" max="10251" width="7" style="197" customWidth="1"/>
    <col min="10252" max="10252" width="7.85546875" style="197" customWidth="1"/>
    <col min="10253" max="10496" width="10" style="197"/>
    <col min="10497" max="10497" width="5.7109375" style="197" customWidth="1"/>
    <col min="10498" max="10498" width="17.7109375" style="197" customWidth="1"/>
    <col min="10499" max="10499" width="15.7109375" style="197" customWidth="1"/>
    <col min="10500" max="10503" width="10.7109375" style="197" customWidth="1"/>
    <col min="10504" max="10504" width="12.7109375" style="197" customWidth="1"/>
    <col min="10505" max="10506" width="6.85546875" style="197" customWidth="1"/>
    <col min="10507" max="10507" width="7" style="197" customWidth="1"/>
    <col min="10508" max="10508" width="7.85546875" style="197" customWidth="1"/>
    <col min="10509" max="10752" width="10" style="197"/>
    <col min="10753" max="10753" width="5.7109375" style="197" customWidth="1"/>
    <col min="10754" max="10754" width="17.7109375" style="197" customWidth="1"/>
    <col min="10755" max="10755" width="15.7109375" style="197" customWidth="1"/>
    <col min="10756" max="10759" width="10.7109375" style="197" customWidth="1"/>
    <col min="10760" max="10760" width="12.7109375" style="197" customWidth="1"/>
    <col min="10761" max="10762" width="6.85546875" style="197" customWidth="1"/>
    <col min="10763" max="10763" width="7" style="197" customWidth="1"/>
    <col min="10764" max="10764" width="7.85546875" style="197" customWidth="1"/>
    <col min="10765" max="11008" width="10" style="197"/>
    <col min="11009" max="11009" width="5.7109375" style="197" customWidth="1"/>
    <col min="11010" max="11010" width="17.7109375" style="197" customWidth="1"/>
    <col min="11011" max="11011" width="15.7109375" style="197" customWidth="1"/>
    <col min="11012" max="11015" width="10.7109375" style="197" customWidth="1"/>
    <col min="11016" max="11016" width="12.7109375" style="197" customWidth="1"/>
    <col min="11017" max="11018" width="6.85546875" style="197" customWidth="1"/>
    <col min="11019" max="11019" width="7" style="197" customWidth="1"/>
    <col min="11020" max="11020" width="7.85546875" style="197" customWidth="1"/>
    <col min="11021" max="11264" width="10" style="197"/>
    <col min="11265" max="11265" width="5.7109375" style="197" customWidth="1"/>
    <col min="11266" max="11266" width="17.7109375" style="197" customWidth="1"/>
    <col min="11267" max="11267" width="15.7109375" style="197" customWidth="1"/>
    <col min="11268" max="11271" width="10.7109375" style="197" customWidth="1"/>
    <col min="11272" max="11272" width="12.7109375" style="197" customWidth="1"/>
    <col min="11273" max="11274" width="6.85546875" style="197" customWidth="1"/>
    <col min="11275" max="11275" width="7" style="197" customWidth="1"/>
    <col min="11276" max="11276" width="7.85546875" style="197" customWidth="1"/>
    <col min="11277" max="11520" width="10" style="197"/>
    <col min="11521" max="11521" width="5.7109375" style="197" customWidth="1"/>
    <col min="11522" max="11522" width="17.7109375" style="197" customWidth="1"/>
    <col min="11523" max="11523" width="15.7109375" style="197" customWidth="1"/>
    <col min="11524" max="11527" width="10.7109375" style="197" customWidth="1"/>
    <col min="11528" max="11528" width="12.7109375" style="197" customWidth="1"/>
    <col min="11529" max="11530" width="6.85546875" style="197" customWidth="1"/>
    <col min="11531" max="11531" width="7" style="197" customWidth="1"/>
    <col min="11532" max="11532" width="7.85546875" style="197" customWidth="1"/>
    <col min="11533" max="11776" width="10" style="197"/>
    <col min="11777" max="11777" width="5.7109375" style="197" customWidth="1"/>
    <col min="11778" max="11778" width="17.7109375" style="197" customWidth="1"/>
    <col min="11779" max="11779" width="15.7109375" style="197" customWidth="1"/>
    <col min="11780" max="11783" width="10.7109375" style="197" customWidth="1"/>
    <col min="11784" max="11784" width="12.7109375" style="197" customWidth="1"/>
    <col min="11785" max="11786" width="6.85546875" style="197" customWidth="1"/>
    <col min="11787" max="11787" width="7" style="197" customWidth="1"/>
    <col min="11788" max="11788" width="7.85546875" style="197" customWidth="1"/>
    <col min="11789" max="12032" width="10" style="197"/>
    <col min="12033" max="12033" width="5.7109375" style="197" customWidth="1"/>
    <col min="12034" max="12034" width="17.7109375" style="197" customWidth="1"/>
    <col min="12035" max="12035" width="15.7109375" style="197" customWidth="1"/>
    <col min="12036" max="12039" width="10.7109375" style="197" customWidth="1"/>
    <col min="12040" max="12040" width="12.7109375" style="197" customWidth="1"/>
    <col min="12041" max="12042" width="6.85546875" style="197" customWidth="1"/>
    <col min="12043" max="12043" width="7" style="197" customWidth="1"/>
    <col min="12044" max="12044" width="7.85546875" style="197" customWidth="1"/>
    <col min="12045" max="12288" width="10" style="197"/>
    <col min="12289" max="12289" width="5.7109375" style="197" customWidth="1"/>
    <col min="12290" max="12290" width="17.7109375" style="197" customWidth="1"/>
    <col min="12291" max="12291" width="15.7109375" style="197" customWidth="1"/>
    <col min="12292" max="12295" width="10.7109375" style="197" customWidth="1"/>
    <col min="12296" max="12296" width="12.7109375" style="197" customWidth="1"/>
    <col min="12297" max="12298" width="6.85546875" style="197" customWidth="1"/>
    <col min="12299" max="12299" width="7" style="197" customWidth="1"/>
    <col min="12300" max="12300" width="7.85546875" style="197" customWidth="1"/>
    <col min="12301" max="12544" width="10" style="197"/>
    <col min="12545" max="12545" width="5.7109375" style="197" customWidth="1"/>
    <col min="12546" max="12546" width="17.7109375" style="197" customWidth="1"/>
    <col min="12547" max="12547" width="15.7109375" style="197" customWidth="1"/>
    <col min="12548" max="12551" width="10.7109375" style="197" customWidth="1"/>
    <col min="12552" max="12552" width="12.7109375" style="197" customWidth="1"/>
    <col min="12553" max="12554" width="6.85546875" style="197" customWidth="1"/>
    <col min="12555" max="12555" width="7" style="197" customWidth="1"/>
    <col min="12556" max="12556" width="7.85546875" style="197" customWidth="1"/>
    <col min="12557" max="12800" width="10" style="197"/>
    <col min="12801" max="12801" width="5.7109375" style="197" customWidth="1"/>
    <col min="12802" max="12802" width="17.7109375" style="197" customWidth="1"/>
    <col min="12803" max="12803" width="15.7109375" style="197" customWidth="1"/>
    <col min="12804" max="12807" width="10.7109375" style="197" customWidth="1"/>
    <col min="12808" max="12808" width="12.7109375" style="197" customWidth="1"/>
    <col min="12809" max="12810" width="6.85546875" style="197" customWidth="1"/>
    <col min="12811" max="12811" width="7" style="197" customWidth="1"/>
    <col min="12812" max="12812" width="7.85546875" style="197" customWidth="1"/>
    <col min="12813" max="13056" width="10" style="197"/>
    <col min="13057" max="13057" width="5.7109375" style="197" customWidth="1"/>
    <col min="13058" max="13058" width="17.7109375" style="197" customWidth="1"/>
    <col min="13059" max="13059" width="15.7109375" style="197" customWidth="1"/>
    <col min="13060" max="13063" width="10.7109375" style="197" customWidth="1"/>
    <col min="13064" max="13064" width="12.7109375" style="197" customWidth="1"/>
    <col min="13065" max="13066" width="6.85546875" style="197" customWidth="1"/>
    <col min="13067" max="13067" width="7" style="197" customWidth="1"/>
    <col min="13068" max="13068" width="7.85546875" style="197" customWidth="1"/>
    <col min="13069" max="13312" width="10" style="197"/>
    <col min="13313" max="13313" width="5.7109375" style="197" customWidth="1"/>
    <col min="13314" max="13314" width="17.7109375" style="197" customWidth="1"/>
    <col min="13315" max="13315" width="15.7109375" style="197" customWidth="1"/>
    <col min="13316" max="13319" width="10.7109375" style="197" customWidth="1"/>
    <col min="13320" max="13320" width="12.7109375" style="197" customWidth="1"/>
    <col min="13321" max="13322" width="6.85546875" style="197" customWidth="1"/>
    <col min="13323" max="13323" width="7" style="197" customWidth="1"/>
    <col min="13324" max="13324" width="7.85546875" style="197" customWidth="1"/>
    <col min="13325" max="13568" width="10" style="197"/>
    <col min="13569" max="13569" width="5.7109375" style="197" customWidth="1"/>
    <col min="13570" max="13570" width="17.7109375" style="197" customWidth="1"/>
    <col min="13571" max="13571" width="15.7109375" style="197" customWidth="1"/>
    <col min="13572" max="13575" width="10.7109375" style="197" customWidth="1"/>
    <col min="13576" max="13576" width="12.7109375" style="197" customWidth="1"/>
    <col min="13577" max="13578" width="6.85546875" style="197" customWidth="1"/>
    <col min="13579" max="13579" width="7" style="197" customWidth="1"/>
    <col min="13580" max="13580" width="7.85546875" style="197" customWidth="1"/>
    <col min="13581" max="13824" width="10" style="197"/>
    <col min="13825" max="13825" width="5.7109375" style="197" customWidth="1"/>
    <col min="13826" max="13826" width="17.7109375" style="197" customWidth="1"/>
    <col min="13827" max="13827" width="15.7109375" style="197" customWidth="1"/>
    <col min="13828" max="13831" width="10.7109375" style="197" customWidth="1"/>
    <col min="13832" max="13832" width="12.7109375" style="197" customWidth="1"/>
    <col min="13833" max="13834" width="6.85546875" style="197" customWidth="1"/>
    <col min="13835" max="13835" width="7" style="197" customWidth="1"/>
    <col min="13836" max="13836" width="7.85546875" style="197" customWidth="1"/>
    <col min="13837" max="14080" width="10" style="197"/>
    <col min="14081" max="14081" width="5.7109375" style="197" customWidth="1"/>
    <col min="14082" max="14082" width="17.7109375" style="197" customWidth="1"/>
    <col min="14083" max="14083" width="15.7109375" style="197" customWidth="1"/>
    <col min="14084" max="14087" width="10.7109375" style="197" customWidth="1"/>
    <col min="14088" max="14088" width="12.7109375" style="197" customWidth="1"/>
    <col min="14089" max="14090" width="6.85546875" style="197" customWidth="1"/>
    <col min="14091" max="14091" width="7" style="197" customWidth="1"/>
    <col min="14092" max="14092" width="7.85546875" style="197" customWidth="1"/>
    <col min="14093" max="14336" width="10" style="197"/>
    <col min="14337" max="14337" width="5.7109375" style="197" customWidth="1"/>
    <col min="14338" max="14338" width="17.7109375" style="197" customWidth="1"/>
    <col min="14339" max="14339" width="15.7109375" style="197" customWidth="1"/>
    <col min="14340" max="14343" width="10.7109375" style="197" customWidth="1"/>
    <col min="14344" max="14344" width="12.7109375" style="197" customWidth="1"/>
    <col min="14345" max="14346" width="6.85546875" style="197" customWidth="1"/>
    <col min="14347" max="14347" width="7" style="197" customWidth="1"/>
    <col min="14348" max="14348" width="7.85546875" style="197" customWidth="1"/>
    <col min="14349" max="14592" width="10" style="197"/>
    <col min="14593" max="14593" width="5.7109375" style="197" customWidth="1"/>
    <col min="14594" max="14594" width="17.7109375" style="197" customWidth="1"/>
    <col min="14595" max="14595" width="15.7109375" style="197" customWidth="1"/>
    <col min="14596" max="14599" width="10.7109375" style="197" customWidth="1"/>
    <col min="14600" max="14600" width="12.7109375" style="197" customWidth="1"/>
    <col min="14601" max="14602" width="6.85546875" style="197" customWidth="1"/>
    <col min="14603" max="14603" width="7" style="197" customWidth="1"/>
    <col min="14604" max="14604" width="7.85546875" style="197" customWidth="1"/>
    <col min="14605" max="14848" width="10" style="197"/>
    <col min="14849" max="14849" width="5.7109375" style="197" customWidth="1"/>
    <col min="14850" max="14850" width="17.7109375" style="197" customWidth="1"/>
    <col min="14851" max="14851" width="15.7109375" style="197" customWidth="1"/>
    <col min="14852" max="14855" width="10.7109375" style="197" customWidth="1"/>
    <col min="14856" max="14856" width="12.7109375" style="197" customWidth="1"/>
    <col min="14857" max="14858" width="6.85546875" style="197" customWidth="1"/>
    <col min="14859" max="14859" width="7" style="197" customWidth="1"/>
    <col min="14860" max="14860" width="7.85546875" style="197" customWidth="1"/>
    <col min="14861" max="15104" width="10" style="197"/>
    <col min="15105" max="15105" width="5.7109375" style="197" customWidth="1"/>
    <col min="15106" max="15106" width="17.7109375" style="197" customWidth="1"/>
    <col min="15107" max="15107" width="15.7109375" style="197" customWidth="1"/>
    <col min="15108" max="15111" width="10.7109375" style="197" customWidth="1"/>
    <col min="15112" max="15112" width="12.7109375" style="197" customWidth="1"/>
    <col min="15113" max="15114" width="6.85546875" style="197" customWidth="1"/>
    <col min="15115" max="15115" width="7" style="197" customWidth="1"/>
    <col min="15116" max="15116" width="7.85546875" style="197" customWidth="1"/>
    <col min="15117" max="15360" width="10" style="197"/>
    <col min="15361" max="15361" width="5.7109375" style="197" customWidth="1"/>
    <col min="15362" max="15362" width="17.7109375" style="197" customWidth="1"/>
    <col min="15363" max="15363" width="15.7109375" style="197" customWidth="1"/>
    <col min="15364" max="15367" width="10.7109375" style="197" customWidth="1"/>
    <col min="15368" max="15368" width="12.7109375" style="197" customWidth="1"/>
    <col min="15369" max="15370" width="6.85546875" style="197" customWidth="1"/>
    <col min="15371" max="15371" width="7" style="197" customWidth="1"/>
    <col min="15372" max="15372" width="7.85546875" style="197" customWidth="1"/>
    <col min="15373" max="15616" width="10" style="197"/>
    <col min="15617" max="15617" width="5.7109375" style="197" customWidth="1"/>
    <col min="15618" max="15618" width="17.7109375" style="197" customWidth="1"/>
    <col min="15619" max="15619" width="15.7109375" style="197" customWidth="1"/>
    <col min="15620" max="15623" width="10.7109375" style="197" customWidth="1"/>
    <col min="15624" max="15624" width="12.7109375" style="197" customWidth="1"/>
    <col min="15625" max="15626" width="6.85546875" style="197" customWidth="1"/>
    <col min="15627" max="15627" width="7" style="197" customWidth="1"/>
    <col min="15628" max="15628" width="7.85546875" style="197" customWidth="1"/>
    <col min="15629" max="15872" width="10" style="197"/>
    <col min="15873" max="15873" width="5.7109375" style="197" customWidth="1"/>
    <col min="15874" max="15874" width="17.7109375" style="197" customWidth="1"/>
    <col min="15875" max="15875" width="15.7109375" style="197" customWidth="1"/>
    <col min="15876" max="15879" width="10.7109375" style="197" customWidth="1"/>
    <col min="15880" max="15880" width="12.7109375" style="197" customWidth="1"/>
    <col min="15881" max="15882" width="6.85546875" style="197" customWidth="1"/>
    <col min="15883" max="15883" width="7" style="197" customWidth="1"/>
    <col min="15884" max="15884" width="7.85546875" style="197" customWidth="1"/>
    <col min="15885" max="16128" width="10" style="197"/>
    <col min="16129" max="16129" width="5.7109375" style="197" customWidth="1"/>
    <col min="16130" max="16130" width="17.7109375" style="197" customWidth="1"/>
    <col min="16131" max="16131" width="15.7109375" style="197" customWidth="1"/>
    <col min="16132" max="16135" width="10.7109375" style="197" customWidth="1"/>
    <col min="16136" max="16136" width="12.7109375" style="197" customWidth="1"/>
    <col min="16137" max="16138" width="6.85546875" style="197" customWidth="1"/>
    <col min="16139" max="16139" width="7" style="197" customWidth="1"/>
    <col min="16140" max="16140" width="7.85546875" style="197" customWidth="1"/>
    <col min="16141" max="16384" width="10" style="197"/>
  </cols>
  <sheetData>
    <row r="1" spans="1:16" ht="18.75" customHeight="1" x14ac:dyDescent="0.2">
      <c r="A1" s="293"/>
      <c r="B1" s="294"/>
      <c r="C1" s="295" t="s">
        <v>552</v>
      </c>
      <c r="D1" s="295"/>
      <c r="E1" s="295"/>
      <c r="F1" s="295"/>
      <c r="G1" s="296" t="s">
        <v>553</v>
      </c>
      <c r="H1" s="196"/>
    </row>
    <row r="2" spans="1:16" ht="18.75" customHeight="1" x14ac:dyDescent="0.25">
      <c r="A2" s="297"/>
      <c r="B2" s="298"/>
      <c r="C2" s="581" t="s">
        <v>781</v>
      </c>
      <c r="D2" s="199"/>
      <c r="E2" s="199"/>
      <c r="F2" s="198"/>
      <c r="G2" s="299" t="s">
        <v>554</v>
      </c>
      <c r="H2" s="200"/>
    </row>
    <row r="3" spans="1:16" ht="17.25" customHeight="1" x14ac:dyDescent="0.2">
      <c r="A3" s="297"/>
      <c r="B3" s="298"/>
      <c r="C3" s="645" t="s">
        <v>782</v>
      </c>
      <c r="D3" s="645"/>
      <c r="E3" s="645"/>
      <c r="F3" s="198"/>
      <c r="G3" s="610" t="s">
        <v>655</v>
      </c>
      <c r="H3" s="611"/>
    </row>
    <row r="4" spans="1:16" ht="15" customHeight="1" thickBot="1" x14ac:dyDescent="0.25">
      <c r="A4" s="649" t="s">
        <v>18</v>
      </c>
      <c r="B4" s="650"/>
      <c r="C4" s="648" t="s">
        <v>654</v>
      </c>
      <c r="D4" s="648"/>
      <c r="E4" s="648"/>
      <c r="F4" s="201"/>
      <c r="G4" s="651" t="s">
        <v>19</v>
      </c>
      <c r="H4" s="652"/>
    </row>
    <row r="5" spans="1:16" ht="13.5" thickTop="1" x14ac:dyDescent="0.2">
      <c r="A5" s="202" t="s">
        <v>783</v>
      </c>
      <c r="B5" s="203"/>
      <c r="C5" s="204"/>
      <c r="D5" s="205"/>
      <c r="E5" s="205"/>
      <c r="F5" s="205"/>
      <c r="G5" s="241"/>
      <c r="H5" s="205"/>
      <c r="M5" s="198"/>
    </row>
    <row r="6" spans="1:16" ht="13.5" thickBot="1" x14ac:dyDescent="0.25">
      <c r="A6" s="206" t="s">
        <v>6</v>
      </c>
      <c r="B6" s="207" t="s">
        <v>555</v>
      </c>
      <c r="C6" s="208"/>
      <c r="D6" s="209" t="s">
        <v>556</v>
      </c>
      <c r="E6" s="209" t="s">
        <v>387</v>
      </c>
      <c r="F6" s="209" t="s">
        <v>557</v>
      </c>
      <c r="G6" s="242" t="s">
        <v>558</v>
      </c>
      <c r="H6" s="206" t="s">
        <v>14</v>
      </c>
      <c r="M6" s="198"/>
    </row>
    <row r="7" spans="1:16" ht="15" customHeight="1" thickBot="1" x14ac:dyDescent="0.3">
      <c r="A7" s="576" t="s">
        <v>743</v>
      </c>
      <c r="B7" s="646" t="s">
        <v>567</v>
      </c>
      <c r="C7" s="647"/>
      <c r="D7" s="211"/>
      <c r="E7" s="211"/>
      <c r="F7" s="211"/>
      <c r="G7" s="243">
        <f>'SW price'!T45</f>
        <v>122381.97940581215</v>
      </c>
      <c r="H7" s="212">
        <f>SUM(D7:G7)</f>
        <v>122381.97940581215</v>
      </c>
    </row>
    <row r="8" spans="1:16" ht="15" customHeight="1" thickBot="1" x14ac:dyDescent="0.3">
      <c r="A8" s="577" t="s">
        <v>745</v>
      </c>
      <c r="B8" s="640" t="s">
        <v>559</v>
      </c>
      <c r="C8" s="641"/>
      <c r="D8" s="214"/>
      <c r="E8" s="214"/>
      <c r="F8" s="214"/>
      <c r="G8" s="244">
        <f>'Concrete Price'!T43</f>
        <v>149140.72210608682</v>
      </c>
      <c r="H8" s="212">
        <f t="shared" ref="H8:H23" si="0">SUM(D8:G8)</f>
        <v>149140.72210608682</v>
      </c>
      <c r="M8" s="198"/>
    </row>
    <row r="9" spans="1:16" ht="15" customHeight="1" thickBot="1" x14ac:dyDescent="0.3">
      <c r="A9" s="577" t="s">
        <v>746</v>
      </c>
      <c r="B9" s="640" t="s">
        <v>560</v>
      </c>
      <c r="C9" s="641"/>
      <c r="D9" s="214"/>
      <c r="E9" s="214"/>
      <c r="F9" s="214"/>
      <c r="G9" s="244">
        <f>'Masonry Price'!T43</f>
        <v>168212.40200478685</v>
      </c>
      <c r="H9" s="212">
        <f t="shared" si="0"/>
        <v>168212.40200478685</v>
      </c>
      <c r="J9" s="216"/>
      <c r="M9" s="198"/>
    </row>
    <row r="10" spans="1:16" ht="15" customHeight="1" thickBot="1" x14ac:dyDescent="0.3">
      <c r="A10" s="577" t="s">
        <v>747</v>
      </c>
      <c r="B10" s="640" t="s">
        <v>570</v>
      </c>
      <c r="C10" s="641"/>
      <c r="D10" s="214"/>
      <c r="E10" s="214"/>
      <c r="F10" s="214"/>
      <c r="G10" s="244">
        <f>'Steel Price'!T43</f>
        <v>257174.79554312371</v>
      </c>
      <c r="H10" s="212">
        <f t="shared" si="0"/>
        <v>257174.79554312371</v>
      </c>
    </row>
    <row r="11" spans="1:16" ht="15" customHeight="1" thickBot="1" x14ac:dyDescent="0.3">
      <c r="A11" s="577" t="s">
        <v>749</v>
      </c>
      <c r="B11" s="640" t="s">
        <v>571</v>
      </c>
      <c r="C11" s="641"/>
      <c r="D11" s="214"/>
      <c r="E11" s="214"/>
      <c r="F11" s="214"/>
      <c r="G11" s="244">
        <f>'Wood Price'!T43</f>
        <v>177467.08067712886</v>
      </c>
      <c r="H11" s="212">
        <f t="shared" si="0"/>
        <v>177467.08067712886</v>
      </c>
    </row>
    <row r="12" spans="1:16" ht="15" customHeight="1" thickBot="1" x14ac:dyDescent="0.3">
      <c r="A12" s="577" t="s">
        <v>750</v>
      </c>
      <c r="B12" s="640" t="s">
        <v>620</v>
      </c>
      <c r="C12" s="641"/>
      <c r="D12" s="214"/>
      <c r="E12" s="214"/>
      <c r="F12" s="214"/>
      <c r="G12" s="244">
        <f>H12</f>
        <v>37643.086723061104</v>
      </c>
      <c r="H12" s="212">
        <f>'Roofing Price'!T43</f>
        <v>37643.086723061104</v>
      </c>
    </row>
    <row r="13" spans="1:16" ht="15" customHeight="1" thickBot="1" x14ac:dyDescent="0.3">
      <c r="A13" s="577" t="s">
        <v>751</v>
      </c>
      <c r="B13" s="640" t="s">
        <v>248</v>
      </c>
      <c r="C13" s="641"/>
      <c r="D13" s="214"/>
      <c r="E13" s="214"/>
      <c r="F13" s="214"/>
      <c r="G13" s="244">
        <f>'Caulking Price'!T43</f>
        <v>2275.0780000000004</v>
      </c>
      <c r="H13" s="212">
        <f t="shared" si="0"/>
        <v>2275.0780000000004</v>
      </c>
    </row>
    <row r="14" spans="1:16" ht="15" customHeight="1" thickBot="1" x14ac:dyDescent="0.3">
      <c r="A14" s="577" t="s">
        <v>752</v>
      </c>
      <c r="B14" s="640" t="s">
        <v>575</v>
      </c>
      <c r="C14" s="641"/>
      <c r="D14" s="214">
        <f>'Doors Windows Price'!H42</f>
        <v>68092.160000000003</v>
      </c>
      <c r="E14" s="221">
        <f>'Doors Windows Price'!P42</f>
        <v>3205.2917647058825</v>
      </c>
      <c r="F14" s="214"/>
      <c r="G14" s="244"/>
      <c r="H14" s="212">
        <f t="shared" si="0"/>
        <v>71297.451764705882</v>
      </c>
      <c r="P14" s="539"/>
    </row>
    <row r="15" spans="1:16" ht="15" customHeight="1" thickBot="1" x14ac:dyDescent="0.3">
      <c r="A15" s="577" t="s">
        <v>753</v>
      </c>
      <c r="B15" s="640" t="s">
        <v>271</v>
      </c>
      <c r="C15" s="641"/>
      <c r="D15" s="214"/>
      <c r="E15" s="214"/>
      <c r="F15" s="214"/>
      <c r="G15" s="244">
        <f>'Flooring Price'!T43</f>
        <v>51561.06601454546</v>
      </c>
      <c r="H15" s="212">
        <f t="shared" si="0"/>
        <v>51561.06601454546</v>
      </c>
      <c r="P15" s="539"/>
    </row>
    <row r="16" spans="1:16" ht="15" customHeight="1" thickBot="1" x14ac:dyDescent="0.3">
      <c r="A16" s="577" t="s">
        <v>754</v>
      </c>
      <c r="B16" s="640" t="s">
        <v>280</v>
      </c>
      <c r="C16" s="641"/>
      <c r="D16" s="214"/>
      <c r="E16" s="214"/>
      <c r="F16" s="214"/>
      <c r="G16" s="244">
        <f>'Paint Price'!T43</f>
        <v>5872.8383229629626</v>
      </c>
      <c r="H16" s="212">
        <f t="shared" si="0"/>
        <v>5872.8383229629626</v>
      </c>
      <c r="P16" s="539"/>
    </row>
    <row r="17" spans="1:16" ht="15" customHeight="1" thickBot="1" x14ac:dyDescent="0.3">
      <c r="A17" s="577" t="s">
        <v>756</v>
      </c>
      <c r="B17" s="640" t="s">
        <v>576</v>
      </c>
      <c r="C17" s="641"/>
      <c r="D17" s="214"/>
      <c r="E17" s="221"/>
      <c r="F17" s="214"/>
      <c r="G17" s="244">
        <f>H17</f>
        <v>23876.578336000002</v>
      </c>
      <c r="H17" s="212">
        <f>'Gypsum Board Price'!T44</f>
        <v>23876.578336000002</v>
      </c>
      <c r="P17" s="539"/>
    </row>
    <row r="18" spans="1:16" ht="15" customHeight="1" thickBot="1" x14ac:dyDescent="0.3">
      <c r="A18" s="577" t="s">
        <v>761</v>
      </c>
      <c r="B18" s="640" t="s">
        <v>682</v>
      </c>
      <c r="C18" s="641"/>
      <c r="D18" s="214">
        <f>'Specialties Price'!H42</f>
        <v>2742.92</v>
      </c>
      <c r="E18" s="214">
        <f>'Specialties Price'!P42</f>
        <v>279.3</v>
      </c>
      <c r="F18" s="214"/>
      <c r="G18" s="244"/>
      <c r="H18" s="212">
        <f t="shared" si="0"/>
        <v>3022.2200000000003</v>
      </c>
      <c r="P18" s="539"/>
    </row>
    <row r="19" spans="1:16" ht="15" customHeight="1" thickBot="1" x14ac:dyDescent="0.3">
      <c r="A19" s="577" t="s">
        <v>757</v>
      </c>
      <c r="B19" s="640" t="s">
        <v>303</v>
      </c>
      <c r="C19" s="641"/>
      <c r="D19" s="214"/>
      <c r="E19" s="214"/>
      <c r="F19" s="214"/>
      <c r="G19" s="244">
        <f>'MEP Price'!T35</f>
        <v>191210.89000000004</v>
      </c>
      <c r="H19" s="212">
        <f t="shared" si="0"/>
        <v>191210.89000000004</v>
      </c>
      <c r="P19" s="539"/>
    </row>
    <row r="20" spans="1:16" ht="15" customHeight="1" thickBot="1" x14ac:dyDescent="0.3">
      <c r="A20" s="577" t="s">
        <v>757</v>
      </c>
      <c r="B20" s="640" t="s">
        <v>302</v>
      </c>
      <c r="C20" s="641"/>
      <c r="D20" s="214"/>
      <c r="E20" s="214"/>
      <c r="F20" s="214"/>
      <c r="G20" s="244">
        <f>'MEP Price'!T30</f>
        <v>179322.13</v>
      </c>
      <c r="H20" s="212">
        <f t="shared" si="0"/>
        <v>179322.13</v>
      </c>
    </row>
    <row r="21" spans="1:16" ht="15" customHeight="1" thickBot="1" x14ac:dyDescent="0.3">
      <c r="A21" s="577" t="s">
        <v>757</v>
      </c>
      <c r="B21" s="640" t="s">
        <v>304</v>
      </c>
      <c r="C21" s="641"/>
      <c r="D21" s="214"/>
      <c r="E21" s="214"/>
      <c r="F21" s="214"/>
      <c r="G21" s="244">
        <f>'MEP Price'!T33</f>
        <v>131767.09</v>
      </c>
      <c r="H21" s="212">
        <f t="shared" si="0"/>
        <v>131767.09</v>
      </c>
    </row>
    <row r="22" spans="1:16" ht="15" customHeight="1" thickBot="1" x14ac:dyDescent="0.3">
      <c r="A22" s="577" t="s">
        <v>759</v>
      </c>
      <c r="B22" s="640" t="s">
        <v>770</v>
      </c>
      <c r="C22" s="641"/>
      <c r="D22" s="214"/>
      <c r="E22" s="214"/>
      <c r="F22" s="214"/>
      <c r="G22" s="244"/>
      <c r="H22" s="212">
        <v>1412</v>
      </c>
    </row>
    <row r="23" spans="1:16" ht="15" customHeight="1" x14ac:dyDescent="0.25">
      <c r="A23" s="577" t="s">
        <v>762</v>
      </c>
      <c r="B23" s="640" t="s">
        <v>588</v>
      </c>
      <c r="C23" s="641"/>
      <c r="D23" s="214"/>
      <c r="E23" s="214">
        <f>'Job Overhead'!J42</f>
        <v>44200</v>
      </c>
      <c r="F23" s="214">
        <f>'Job Overhead'!L42</f>
        <v>36847</v>
      </c>
      <c r="G23" s="244">
        <f>'Job Overhead'!N42</f>
        <v>74950</v>
      </c>
      <c r="H23" s="212">
        <f t="shared" si="0"/>
        <v>155997</v>
      </c>
    </row>
    <row r="24" spans="1:16" ht="15" customHeight="1" x14ac:dyDescent="0.2">
      <c r="A24" s="213"/>
      <c r="B24" s="640"/>
      <c r="C24" s="641"/>
      <c r="D24" s="214"/>
      <c r="E24" s="214"/>
      <c r="F24" s="214"/>
      <c r="G24" s="244"/>
      <c r="H24" s="215"/>
    </row>
    <row r="25" spans="1:16" ht="15" customHeight="1" x14ac:dyDescent="0.2">
      <c r="A25" s="213"/>
      <c r="B25" s="640"/>
      <c r="C25" s="641"/>
      <c r="D25" s="214"/>
      <c r="E25" s="214"/>
      <c r="F25" s="214"/>
      <c r="G25" s="244"/>
      <c r="H25" s="215"/>
      <c r="L25" s="644" t="s">
        <v>679</v>
      </c>
      <c r="M25" s="644"/>
    </row>
    <row r="26" spans="1:16" ht="15" customHeight="1" x14ac:dyDescent="0.2">
      <c r="A26" s="213"/>
      <c r="B26" s="640"/>
      <c r="C26" s="641"/>
      <c r="D26" s="214"/>
      <c r="E26" s="214"/>
      <c r="F26" s="214"/>
      <c r="G26" s="244"/>
      <c r="H26" s="215"/>
      <c r="K26" s="216"/>
      <c r="L26" s="197" t="s">
        <v>648</v>
      </c>
      <c r="M26" s="197">
        <v>1</v>
      </c>
    </row>
    <row r="27" spans="1:16" ht="15.75" customHeight="1" thickBot="1" x14ac:dyDescent="0.25">
      <c r="A27" s="213"/>
      <c r="B27" s="642"/>
      <c r="C27" s="643"/>
      <c r="D27" s="217"/>
      <c r="E27" s="217"/>
      <c r="F27" s="218"/>
      <c r="G27" s="244"/>
      <c r="H27" s="215"/>
      <c r="M27" s="197">
        <v>-16116</v>
      </c>
    </row>
    <row r="28" spans="1:16" x14ac:dyDescent="0.2">
      <c r="A28" s="210"/>
      <c r="B28" s="278" t="s">
        <v>13</v>
      </c>
      <c r="C28" s="279"/>
      <c r="D28" s="219">
        <f>SUM(D7:D26)</f>
        <v>70835.08</v>
      </c>
      <c r="E28" s="219">
        <f>SUM(E7:E26)</f>
        <v>47684.591764705881</v>
      </c>
      <c r="F28" s="219">
        <f>SUM(F7:F26)</f>
        <v>36847</v>
      </c>
      <c r="G28" s="245">
        <f>SUM(G7:G26)</f>
        <v>1572855.7371335078</v>
      </c>
      <c r="H28" s="220">
        <f>SUM(D28:G28)</f>
        <v>1728222.4088982136</v>
      </c>
      <c r="M28" s="197">
        <v>0.83840000000000003</v>
      </c>
    </row>
    <row r="29" spans="1:16" x14ac:dyDescent="0.2">
      <c r="A29" s="213"/>
      <c r="B29" s="276" t="s">
        <v>675</v>
      </c>
      <c r="C29" s="277"/>
      <c r="D29" s="221">
        <f>D28*0.07</f>
        <v>4958.4556000000002</v>
      </c>
      <c r="E29" s="214"/>
      <c r="F29" s="214"/>
      <c r="G29" s="246"/>
      <c r="H29" s="215">
        <f>SUM(D29:G29)</f>
        <v>4958.4556000000002</v>
      </c>
      <c r="L29" s="197" t="s">
        <v>676</v>
      </c>
      <c r="M29" s="539">
        <f>H32</f>
        <v>1752490.9167896141</v>
      </c>
    </row>
    <row r="30" spans="1:16" x14ac:dyDescent="0.2">
      <c r="A30" s="213"/>
      <c r="B30" s="276" t="s">
        <v>674</v>
      </c>
      <c r="C30" s="277"/>
      <c r="D30" s="214"/>
      <c r="E30" s="221">
        <f>E28*0.306</f>
        <v>14591.485079999999</v>
      </c>
      <c r="F30" s="214"/>
      <c r="G30" s="244"/>
      <c r="H30" s="215">
        <f>SUM(D30:G30)</f>
        <v>14591.485079999999</v>
      </c>
      <c r="L30" s="197" t="s">
        <v>677</v>
      </c>
      <c r="M30" s="197">
        <v>18750</v>
      </c>
    </row>
    <row r="31" spans="1:16" ht="13.5" thickBot="1" x14ac:dyDescent="0.25">
      <c r="A31" s="222"/>
      <c r="B31" s="223" t="s">
        <v>561</v>
      </c>
      <c r="C31" s="224"/>
      <c r="D31" s="225"/>
      <c r="E31" s="225"/>
      <c r="F31" s="225"/>
      <c r="G31" s="247">
        <f>G28*0.003</f>
        <v>4718.5672114005238</v>
      </c>
      <c r="H31" s="226">
        <f>SUM(D31:G31)</f>
        <v>4718.5672114005238</v>
      </c>
      <c r="L31" s="197" t="s">
        <v>678</v>
      </c>
      <c r="M31" s="197">
        <v>28500</v>
      </c>
    </row>
    <row r="32" spans="1:16" x14ac:dyDescent="0.2">
      <c r="A32" s="210"/>
      <c r="B32" s="278" t="s">
        <v>562</v>
      </c>
      <c r="C32" s="279"/>
      <c r="D32" s="227">
        <f>SUM(D28:D31)</f>
        <v>75793.535600000003</v>
      </c>
      <c r="E32" s="227">
        <f>SUM(E28:E31)</f>
        <v>62276.07684470588</v>
      </c>
      <c r="F32" s="227">
        <f>SUM(F28:F31)</f>
        <v>36847</v>
      </c>
      <c r="G32" s="248">
        <f>SUM(G28:G31)</f>
        <v>1577574.3043449083</v>
      </c>
      <c r="H32" s="220">
        <f>SUM(D32:G32)</f>
        <v>1752490.9167896141</v>
      </c>
      <c r="M32" s="539">
        <f>M29+M31-M30</f>
        <v>1762240.9167896141</v>
      </c>
    </row>
    <row r="33" spans="1:15" x14ac:dyDescent="0.2">
      <c r="A33" s="228"/>
      <c r="B33" s="276" t="s">
        <v>563</v>
      </c>
      <c r="C33" s="277"/>
      <c r="D33" s="214"/>
      <c r="E33" s="214"/>
      <c r="F33" s="214"/>
      <c r="G33" s="249"/>
      <c r="H33" s="215">
        <f>H39*I33</f>
        <v>15554.130229297643</v>
      </c>
      <c r="I33" s="197">
        <v>7.4000000000000003E-3</v>
      </c>
    </row>
    <row r="34" spans="1:15" x14ac:dyDescent="0.2">
      <c r="A34" s="213"/>
      <c r="B34" s="276" t="s">
        <v>564</v>
      </c>
      <c r="C34" s="277"/>
      <c r="D34" s="214"/>
      <c r="E34" s="214"/>
      <c r="F34" s="214"/>
      <c r="G34" s="246"/>
      <c r="H34" s="215">
        <f>H39*I34</f>
        <v>21019.094904456273</v>
      </c>
      <c r="I34" s="197">
        <v>0.01</v>
      </c>
      <c r="L34" s="197" t="s">
        <v>648</v>
      </c>
      <c r="M34" s="197">
        <f>M32/M28</f>
        <v>2101909.4904456274</v>
      </c>
    </row>
    <row r="35" spans="1:15" x14ac:dyDescent="0.2">
      <c r="A35" s="213"/>
      <c r="B35" s="276" t="s">
        <v>565</v>
      </c>
      <c r="C35" s="277"/>
      <c r="D35" s="217"/>
      <c r="E35" s="217"/>
      <c r="F35" s="217"/>
      <c r="G35" s="246"/>
      <c r="H35" s="215">
        <f>H39*I35</f>
        <v>10509.547452228137</v>
      </c>
      <c r="I35" s="197">
        <v>5.0000000000000001E-3</v>
      </c>
    </row>
    <row r="36" spans="1:15" ht="15" customHeight="1" x14ac:dyDescent="0.2">
      <c r="A36" s="213"/>
      <c r="B36" s="640" t="s">
        <v>686</v>
      </c>
      <c r="C36" s="641"/>
      <c r="D36" s="217"/>
      <c r="E36" s="214"/>
      <c r="F36" s="214"/>
      <c r="G36" s="244"/>
      <c r="H36" s="215">
        <f>H39*I36</f>
        <v>229528.51635666253</v>
      </c>
      <c r="I36" s="197">
        <v>0.10920000000000001</v>
      </c>
    </row>
    <row r="37" spans="1:15" x14ac:dyDescent="0.2">
      <c r="A37" s="213"/>
      <c r="B37" s="276" t="s">
        <v>580</v>
      </c>
      <c r="C37" s="277"/>
      <c r="D37" s="214"/>
      <c r="E37" s="214"/>
      <c r="F37" s="214"/>
      <c r="G37" s="246"/>
      <c r="H37" s="215">
        <f>H39*I37</f>
        <v>63057.284713368819</v>
      </c>
      <c r="I37" s="197">
        <v>0.03</v>
      </c>
    </row>
    <row r="38" spans="1:15" ht="13.5" thickBot="1" x14ac:dyDescent="0.25">
      <c r="A38" s="222"/>
      <c r="B38" s="223" t="s">
        <v>566</v>
      </c>
      <c r="C38" s="224"/>
      <c r="D38" s="229"/>
      <c r="E38" s="229"/>
      <c r="F38" s="229"/>
      <c r="G38" s="250"/>
      <c r="H38" s="226">
        <f>H39-SUM(H32:H37)</f>
        <v>9749.9999999997672</v>
      </c>
    </row>
    <row r="39" spans="1:15" ht="13.5" thickBot="1" x14ac:dyDescent="0.25">
      <c r="A39" s="230"/>
      <c r="B39" s="231" t="s">
        <v>648</v>
      </c>
      <c r="C39" s="232"/>
      <c r="D39" s="233"/>
      <c r="E39" s="233"/>
      <c r="F39" s="233"/>
      <c r="G39" s="251"/>
      <c r="H39" s="528">
        <f>M34</f>
        <v>2101909.4904456274</v>
      </c>
    </row>
    <row r="40" spans="1:15" x14ac:dyDescent="0.2">
      <c r="A40" s="213"/>
      <c r="B40" s="276"/>
      <c r="C40" s="277"/>
      <c r="D40" s="217"/>
      <c r="E40" s="217"/>
      <c r="F40" s="217"/>
      <c r="G40" s="252"/>
      <c r="H40" s="234"/>
    </row>
    <row r="41" spans="1:15" x14ac:dyDescent="0.2">
      <c r="A41" s="213"/>
      <c r="B41" s="276"/>
      <c r="C41" s="277"/>
      <c r="D41" s="221"/>
      <c r="E41" s="214"/>
      <c r="F41" s="214"/>
      <c r="G41" s="246"/>
      <c r="H41" s="234"/>
    </row>
    <row r="42" spans="1:15" x14ac:dyDescent="0.2">
      <c r="A42" s="213"/>
      <c r="B42" s="276"/>
      <c r="C42" s="277"/>
      <c r="D42" s="214"/>
      <c r="E42" s="221"/>
      <c r="F42" s="214"/>
      <c r="G42" s="244"/>
      <c r="H42" s="234"/>
    </row>
    <row r="43" spans="1:15" x14ac:dyDescent="0.2">
      <c r="A43" s="222"/>
      <c r="B43" s="223"/>
      <c r="C43" s="224"/>
      <c r="D43" s="225"/>
      <c r="E43" s="225"/>
      <c r="F43" s="225"/>
      <c r="G43" s="247"/>
      <c r="H43" s="235"/>
    </row>
    <row r="44" spans="1:15" x14ac:dyDescent="0.2">
      <c r="A44" s="213"/>
      <c r="B44" s="276"/>
      <c r="C44" s="277"/>
      <c r="D44" s="221"/>
      <c r="E44" s="221"/>
      <c r="F44" s="221"/>
      <c r="G44" s="253"/>
      <c r="H44" s="234"/>
      <c r="O44" s="540"/>
    </row>
    <row r="45" spans="1:15" x14ac:dyDescent="0.2">
      <c r="A45" s="228"/>
      <c r="B45" s="276"/>
      <c r="C45" s="277"/>
      <c r="D45" s="214"/>
      <c r="E45" s="214"/>
      <c r="F45" s="214"/>
      <c r="G45" s="249"/>
      <c r="H45" s="234"/>
    </row>
    <row r="46" spans="1:15" x14ac:dyDescent="0.2">
      <c r="A46" s="213"/>
      <c r="B46" s="276"/>
      <c r="C46" s="277"/>
      <c r="D46" s="214"/>
      <c r="E46" s="214"/>
      <c r="F46" s="214"/>
      <c r="G46" s="246"/>
      <c r="H46" s="234"/>
    </row>
    <row r="47" spans="1:15" x14ac:dyDescent="0.2">
      <c r="A47" s="213"/>
      <c r="B47" s="276"/>
      <c r="C47" s="277"/>
      <c r="D47" s="217"/>
      <c r="E47" s="217"/>
      <c r="F47" s="217"/>
      <c r="G47" s="246"/>
      <c r="H47" s="234"/>
    </row>
    <row r="48" spans="1:15" x14ac:dyDescent="0.2">
      <c r="A48" s="213"/>
      <c r="B48" s="276"/>
      <c r="C48" s="277"/>
      <c r="D48" s="217"/>
      <c r="E48" s="214"/>
      <c r="F48" s="214"/>
      <c r="G48" s="244"/>
      <c r="H48" s="234"/>
    </row>
    <row r="49" spans="1:8" x14ac:dyDescent="0.2">
      <c r="A49" s="213"/>
      <c r="B49" s="276"/>
      <c r="C49" s="277"/>
      <c r="D49" s="214"/>
      <c r="E49" s="214"/>
      <c r="F49" s="214"/>
      <c r="G49" s="246"/>
      <c r="H49" s="234"/>
    </row>
    <row r="50" spans="1:8" x14ac:dyDescent="0.2">
      <c r="A50" s="222"/>
      <c r="B50" s="223"/>
      <c r="C50" s="224"/>
      <c r="D50" s="229"/>
      <c r="E50" s="229"/>
      <c r="F50" s="229"/>
      <c r="G50" s="250"/>
      <c r="H50" s="235"/>
    </row>
    <row r="51" spans="1:8" x14ac:dyDescent="0.2">
      <c r="A51" s="236"/>
      <c r="B51" s="237"/>
      <c r="C51" s="238"/>
      <c r="D51" s="239"/>
      <c r="E51" s="239"/>
      <c r="F51" s="239"/>
      <c r="G51" s="254"/>
      <c r="H51" s="240"/>
    </row>
  </sheetData>
  <mergeCells count="28">
    <mergeCell ref="L25:M25"/>
    <mergeCell ref="G3:H3"/>
    <mergeCell ref="C3:E3"/>
    <mergeCell ref="B7:C7"/>
    <mergeCell ref="B8:C8"/>
    <mergeCell ref="C4:E4"/>
    <mergeCell ref="A4:B4"/>
    <mergeCell ref="G4:H4"/>
    <mergeCell ref="B24:C24"/>
    <mergeCell ref="B25:C25"/>
    <mergeCell ref="B17:C17"/>
    <mergeCell ref="B9:C9"/>
    <mergeCell ref="B10:C10"/>
    <mergeCell ref="B12:C12"/>
    <mergeCell ref="B11:C11"/>
    <mergeCell ref="B13:C13"/>
    <mergeCell ref="B14:C14"/>
    <mergeCell ref="B15:C15"/>
    <mergeCell ref="B16:C16"/>
    <mergeCell ref="B36:C36"/>
    <mergeCell ref="B18:C18"/>
    <mergeCell ref="B19:C19"/>
    <mergeCell ref="B20:C20"/>
    <mergeCell ref="B21:C21"/>
    <mergeCell ref="B22:C22"/>
    <mergeCell ref="B23:C23"/>
    <mergeCell ref="B26:C26"/>
    <mergeCell ref="B27:C27"/>
  </mergeCells>
  <hyperlinks>
    <hyperlink ref="A7" location="'SW price'!A1" display="P1"/>
    <hyperlink ref="A8" location="'Concrete Price'!A1" display="P3"/>
    <hyperlink ref="A9" location="'Masonry Price'!A1" display="P4"/>
    <hyperlink ref="A10" location="'Steel Price'!A1" display="P5"/>
    <hyperlink ref="A11" location="'Wood Price'!A1" display="P6"/>
    <hyperlink ref="A12" location="'Roofing Price'!A1" display="P7"/>
    <hyperlink ref="A13" location="'Caulking Price'!A1" display="P8"/>
    <hyperlink ref="A14" location="'Doors Windows Price'!A1" display="P9"/>
    <hyperlink ref="A15" location="'Flooring Price'!A1" display="P10"/>
    <hyperlink ref="A16" location="'Paint Price'!A1" display="P11"/>
    <hyperlink ref="A17" location="'Gypsum Board Price'!A1" display="P12"/>
    <hyperlink ref="A18" location="'Specialties Price'!A1" display="P13"/>
    <hyperlink ref="A19" location="'MEP Price'!A1" display="P14"/>
    <hyperlink ref="A20" location="'MEP Price'!A1" display="P14"/>
    <hyperlink ref="A21" location="'MEP Price'!A1" display="P14"/>
    <hyperlink ref="A22" location="'Alternate #2 price'!A1" display="AP2"/>
    <hyperlink ref="A23" location="'Job Overhead'!A1" display="JOH1"/>
    <hyperlink ref="C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4"/>
  <sheetViews>
    <sheetView workbookViewId="0">
      <selection activeCell="B34" sqref="B34:C34"/>
    </sheetView>
  </sheetViews>
  <sheetFormatPr defaultRowHeight="12.75" x14ac:dyDescent="0.2"/>
  <cols>
    <col min="1" max="1" width="4.140625" style="292" customWidth="1"/>
    <col min="2" max="2" width="6.7109375" style="292" customWidth="1"/>
    <col min="3" max="3" width="14.7109375" style="292" customWidth="1"/>
    <col min="4" max="4" width="0.140625" style="292" customWidth="1"/>
    <col min="5" max="5" width="3.7109375" style="292" customWidth="1"/>
    <col min="6" max="6" width="7.7109375" style="292" customWidth="1"/>
    <col min="7" max="7" width="2.7109375" style="292" customWidth="1"/>
    <col min="8" max="8" width="7.140625" style="292" customWidth="1"/>
    <col min="9" max="9" width="0.85546875" style="292" customWidth="1"/>
    <col min="10" max="10" width="9.28515625" style="292" customWidth="1"/>
    <col min="11" max="11" width="3" style="292" customWidth="1"/>
    <col min="12" max="12" width="7.140625" style="292" customWidth="1"/>
    <col min="13" max="13" width="3.42578125" style="292" customWidth="1"/>
    <col min="14" max="14" width="6.5703125" style="292" customWidth="1"/>
    <col min="15" max="15" width="2.7109375" style="292" customWidth="1"/>
    <col min="16" max="16" width="8.7109375" style="292" customWidth="1"/>
    <col min="17" max="256" width="9.140625" style="292"/>
    <col min="257" max="257" width="4.140625" style="292" customWidth="1"/>
    <col min="258" max="258" width="6.7109375" style="292" customWidth="1"/>
    <col min="259" max="259" width="14.7109375" style="292" customWidth="1"/>
    <col min="260" max="260" width="0.140625" style="292" customWidth="1"/>
    <col min="261" max="261" width="3.7109375" style="292" customWidth="1"/>
    <col min="262" max="262" width="7.7109375" style="292" customWidth="1"/>
    <col min="263" max="263" width="2.7109375" style="292" customWidth="1"/>
    <col min="264" max="264" width="7.140625" style="292" customWidth="1"/>
    <col min="265" max="265" width="0.85546875" style="292" customWidth="1"/>
    <col min="266" max="266" width="9.28515625" style="292" customWidth="1"/>
    <col min="267" max="267" width="3" style="292" customWidth="1"/>
    <col min="268" max="268" width="7.140625" style="292" customWidth="1"/>
    <col min="269" max="269" width="3.42578125" style="292" customWidth="1"/>
    <col min="270" max="270" width="6.5703125" style="292" customWidth="1"/>
    <col min="271" max="271" width="2.7109375" style="292" customWidth="1"/>
    <col min="272" max="272" width="8.7109375" style="292" customWidth="1"/>
    <col min="273" max="512" width="9.140625" style="292"/>
    <col min="513" max="513" width="4.140625" style="292" customWidth="1"/>
    <col min="514" max="514" width="6.7109375" style="292" customWidth="1"/>
    <col min="515" max="515" width="14.7109375" style="292" customWidth="1"/>
    <col min="516" max="516" width="0.140625" style="292" customWidth="1"/>
    <col min="517" max="517" width="3.7109375" style="292" customWidth="1"/>
    <col min="518" max="518" width="7.7109375" style="292" customWidth="1"/>
    <col min="519" max="519" width="2.7109375" style="292" customWidth="1"/>
    <col min="520" max="520" width="7.140625" style="292" customWidth="1"/>
    <col min="521" max="521" width="0.85546875" style="292" customWidth="1"/>
    <col min="522" max="522" width="9.28515625" style="292" customWidth="1"/>
    <col min="523" max="523" width="3" style="292" customWidth="1"/>
    <col min="524" max="524" width="7.140625" style="292" customWidth="1"/>
    <col min="525" max="525" width="3.42578125" style="292" customWidth="1"/>
    <col min="526" max="526" width="6.5703125" style="292" customWidth="1"/>
    <col min="527" max="527" width="2.7109375" style="292" customWidth="1"/>
    <col min="528" max="528" width="8.7109375" style="292" customWidth="1"/>
    <col min="529" max="768" width="9.140625" style="292"/>
    <col min="769" max="769" width="4.140625" style="292" customWidth="1"/>
    <col min="770" max="770" width="6.7109375" style="292" customWidth="1"/>
    <col min="771" max="771" width="14.7109375" style="292" customWidth="1"/>
    <col min="772" max="772" width="0.140625" style="292" customWidth="1"/>
    <col min="773" max="773" width="3.7109375" style="292" customWidth="1"/>
    <col min="774" max="774" width="7.7109375" style="292" customWidth="1"/>
    <col min="775" max="775" width="2.7109375" style="292" customWidth="1"/>
    <col min="776" max="776" width="7.140625" style="292" customWidth="1"/>
    <col min="777" max="777" width="0.85546875" style="292" customWidth="1"/>
    <col min="778" max="778" width="9.28515625" style="292" customWidth="1"/>
    <col min="779" max="779" width="3" style="292" customWidth="1"/>
    <col min="780" max="780" width="7.140625" style="292" customWidth="1"/>
    <col min="781" max="781" width="3.42578125" style="292" customWidth="1"/>
    <col min="782" max="782" width="6.5703125" style="292" customWidth="1"/>
    <col min="783" max="783" width="2.7109375" style="292" customWidth="1"/>
    <col min="784" max="784" width="8.7109375" style="292" customWidth="1"/>
    <col min="785" max="1024" width="9.140625" style="292"/>
    <col min="1025" max="1025" width="4.140625" style="292" customWidth="1"/>
    <col min="1026" max="1026" width="6.7109375" style="292" customWidth="1"/>
    <col min="1027" max="1027" width="14.7109375" style="292" customWidth="1"/>
    <col min="1028" max="1028" width="0.140625" style="292" customWidth="1"/>
    <col min="1029" max="1029" width="3.7109375" style="292" customWidth="1"/>
    <col min="1030" max="1030" width="7.7109375" style="292" customWidth="1"/>
    <col min="1031" max="1031" width="2.7109375" style="292" customWidth="1"/>
    <col min="1032" max="1032" width="7.140625" style="292" customWidth="1"/>
    <col min="1033" max="1033" width="0.85546875" style="292" customWidth="1"/>
    <col min="1034" max="1034" width="9.28515625" style="292" customWidth="1"/>
    <col min="1035" max="1035" width="3" style="292" customWidth="1"/>
    <col min="1036" max="1036" width="7.140625" style="292" customWidth="1"/>
    <col min="1037" max="1037" width="3.42578125" style="292" customWidth="1"/>
    <col min="1038" max="1038" width="6.5703125" style="292" customWidth="1"/>
    <col min="1039" max="1039" width="2.7109375" style="292" customWidth="1"/>
    <col min="1040" max="1040" width="8.7109375" style="292" customWidth="1"/>
    <col min="1041" max="1280" width="9.140625" style="292"/>
    <col min="1281" max="1281" width="4.140625" style="292" customWidth="1"/>
    <col min="1282" max="1282" width="6.7109375" style="292" customWidth="1"/>
    <col min="1283" max="1283" width="14.7109375" style="292" customWidth="1"/>
    <col min="1284" max="1284" width="0.140625" style="292" customWidth="1"/>
    <col min="1285" max="1285" width="3.7109375" style="292" customWidth="1"/>
    <col min="1286" max="1286" width="7.7109375" style="292" customWidth="1"/>
    <col min="1287" max="1287" width="2.7109375" style="292" customWidth="1"/>
    <col min="1288" max="1288" width="7.140625" style="292" customWidth="1"/>
    <col min="1289" max="1289" width="0.85546875" style="292" customWidth="1"/>
    <col min="1290" max="1290" width="9.28515625" style="292" customWidth="1"/>
    <col min="1291" max="1291" width="3" style="292" customWidth="1"/>
    <col min="1292" max="1292" width="7.140625" style="292" customWidth="1"/>
    <col min="1293" max="1293" width="3.42578125" style="292" customWidth="1"/>
    <col min="1294" max="1294" width="6.5703125" style="292" customWidth="1"/>
    <col min="1295" max="1295" width="2.7109375" style="292" customWidth="1"/>
    <col min="1296" max="1296" width="8.7109375" style="292" customWidth="1"/>
    <col min="1297" max="1536" width="9.140625" style="292"/>
    <col min="1537" max="1537" width="4.140625" style="292" customWidth="1"/>
    <col min="1538" max="1538" width="6.7109375" style="292" customWidth="1"/>
    <col min="1539" max="1539" width="14.7109375" style="292" customWidth="1"/>
    <col min="1540" max="1540" width="0.140625" style="292" customWidth="1"/>
    <col min="1541" max="1541" width="3.7109375" style="292" customWidth="1"/>
    <col min="1542" max="1542" width="7.7109375" style="292" customWidth="1"/>
    <col min="1543" max="1543" width="2.7109375" style="292" customWidth="1"/>
    <col min="1544" max="1544" width="7.140625" style="292" customWidth="1"/>
    <col min="1545" max="1545" width="0.85546875" style="292" customWidth="1"/>
    <col min="1546" max="1546" width="9.28515625" style="292" customWidth="1"/>
    <col min="1547" max="1547" width="3" style="292" customWidth="1"/>
    <col min="1548" max="1548" width="7.140625" style="292" customWidth="1"/>
    <col min="1549" max="1549" width="3.42578125" style="292" customWidth="1"/>
    <col min="1550" max="1550" width="6.5703125" style="292" customWidth="1"/>
    <col min="1551" max="1551" width="2.7109375" style="292" customWidth="1"/>
    <col min="1552" max="1552" width="8.7109375" style="292" customWidth="1"/>
    <col min="1553" max="1792" width="9.140625" style="292"/>
    <col min="1793" max="1793" width="4.140625" style="292" customWidth="1"/>
    <col min="1794" max="1794" width="6.7109375" style="292" customWidth="1"/>
    <col min="1795" max="1795" width="14.7109375" style="292" customWidth="1"/>
    <col min="1796" max="1796" width="0.140625" style="292" customWidth="1"/>
    <col min="1797" max="1797" width="3.7109375" style="292" customWidth="1"/>
    <col min="1798" max="1798" width="7.7109375" style="292" customWidth="1"/>
    <col min="1799" max="1799" width="2.7109375" style="292" customWidth="1"/>
    <col min="1800" max="1800" width="7.140625" style="292" customWidth="1"/>
    <col min="1801" max="1801" width="0.85546875" style="292" customWidth="1"/>
    <col min="1802" max="1802" width="9.28515625" style="292" customWidth="1"/>
    <col min="1803" max="1803" width="3" style="292" customWidth="1"/>
    <col min="1804" max="1804" width="7.140625" style="292" customWidth="1"/>
    <col min="1805" max="1805" width="3.42578125" style="292" customWidth="1"/>
    <col min="1806" max="1806" width="6.5703125" style="292" customWidth="1"/>
    <col min="1807" max="1807" width="2.7109375" style="292" customWidth="1"/>
    <col min="1808" max="1808" width="8.7109375" style="292" customWidth="1"/>
    <col min="1809" max="2048" width="9.140625" style="292"/>
    <col min="2049" max="2049" width="4.140625" style="292" customWidth="1"/>
    <col min="2050" max="2050" width="6.7109375" style="292" customWidth="1"/>
    <col min="2051" max="2051" width="14.7109375" style="292" customWidth="1"/>
    <col min="2052" max="2052" width="0.140625" style="292" customWidth="1"/>
    <col min="2053" max="2053" width="3.7109375" style="292" customWidth="1"/>
    <col min="2054" max="2054" width="7.7109375" style="292" customWidth="1"/>
    <col min="2055" max="2055" width="2.7109375" style="292" customWidth="1"/>
    <col min="2056" max="2056" width="7.140625" style="292" customWidth="1"/>
    <col min="2057" max="2057" width="0.85546875" style="292" customWidth="1"/>
    <col min="2058" max="2058" width="9.28515625" style="292" customWidth="1"/>
    <col min="2059" max="2059" width="3" style="292" customWidth="1"/>
    <col min="2060" max="2060" width="7.140625" style="292" customWidth="1"/>
    <col min="2061" max="2061" width="3.42578125" style="292" customWidth="1"/>
    <col min="2062" max="2062" width="6.5703125" style="292" customWidth="1"/>
    <col min="2063" max="2063" width="2.7109375" style="292" customWidth="1"/>
    <col min="2064" max="2064" width="8.7109375" style="292" customWidth="1"/>
    <col min="2065" max="2304" width="9.140625" style="292"/>
    <col min="2305" max="2305" width="4.140625" style="292" customWidth="1"/>
    <col min="2306" max="2306" width="6.7109375" style="292" customWidth="1"/>
    <col min="2307" max="2307" width="14.7109375" style="292" customWidth="1"/>
    <col min="2308" max="2308" width="0.140625" style="292" customWidth="1"/>
    <col min="2309" max="2309" width="3.7109375" style="292" customWidth="1"/>
    <col min="2310" max="2310" width="7.7109375" style="292" customWidth="1"/>
    <col min="2311" max="2311" width="2.7109375" style="292" customWidth="1"/>
    <col min="2312" max="2312" width="7.140625" style="292" customWidth="1"/>
    <col min="2313" max="2313" width="0.85546875" style="292" customWidth="1"/>
    <col min="2314" max="2314" width="9.28515625" style="292" customWidth="1"/>
    <col min="2315" max="2315" width="3" style="292" customWidth="1"/>
    <col min="2316" max="2316" width="7.140625" style="292" customWidth="1"/>
    <col min="2317" max="2317" width="3.42578125" style="292" customWidth="1"/>
    <col min="2318" max="2318" width="6.5703125" style="292" customWidth="1"/>
    <col min="2319" max="2319" width="2.7109375" style="292" customWidth="1"/>
    <col min="2320" max="2320" width="8.7109375" style="292" customWidth="1"/>
    <col min="2321" max="2560" width="9.140625" style="292"/>
    <col min="2561" max="2561" width="4.140625" style="292" customWidth="1"/>
    <col min="2562" max="2562" width="6.7109375" style="292" customWidth="1"/>
    <col min="2563" max="2563" width="14.7109375" style="292" customWidth="1"/>
    <col min="2564" max="2564" width="0.140625" style="292" customWidth="1"/>
    <col min="2565" max="2565" width="3.7109375" style="292" customWidth="1"/>
    <col min="2566" max="2566" width="7.7109375" style="292" customWidth="1"/>
    <col min="2567" max="2567" width="2.7109375" style="292" customWidth="1"/>
    <col min="2568" max="2568" width="7.140625" style="292" customWidth="1"/>
    <col min="2569" max="2569" width="0.85546875" style="292" customWidth="1"/>
    <col min="2570" max="2570" width="9.28515625" style="292" customWidth="1"/>
    <col min="2571" max="2571" width="3" style="292" customWidth="1"/>
    <col min="2572" max="2572" width="7.140625" style="292" customWidth="1"/>
    <col min="2573" max="2573" width="3.42578125" style="292" customWidth="1"/>
    <col min="2574" max="2574" width="6.5703125" style="292" customWidth="1"/>
    <col min="2575" max="2575" width="2.7109375" style="292" customWidth="1"/>
    <col min="2576" max="2576" width="8.7109375" style="292" customWidth="1"/>
    <col min="2577" max="2816" width="9.140625" style="292"/>
    <col min="2817" max="2817" width="4.140625" style="292" customWidth="1"/>
    <col min="2818" max="2818" width="6.7109375" style="292" customWidth="1"/>
    <col min="2819" max="2819" width="14.7109375" style="292" customWidth="1"/>
    <col min="2820" max="2820" width="0.140625" style="292" customWidth="1"/>
    <col min="2821" max="2821" width="3.7109375" style="292" customWidth="1"/>
    <col min="2822" max="2822" width="7.7109375" style="292" customWidth="1"/>
    <col min="2823" max="2823" width="2.7109375" style="292" customWidth="1"/>
    <col min="2824" max="2824" width="7.140625" style="292" customWidth="1"/>
    <col min="2825" max="2825" width="0.85546875" style="292" customWidth="1"/>
    <col min="2826" max="2826" width="9.28515625" style="292" customWidth="1"/>
    <col min="2827" max="2827" width="3" style="292" customWidth="1"/>
    <col min="2828" max="2828" width="7.140625" style="292" customWidth="1"/>
    <col min="2829" max="2829" width="3.42578125" style="292" customWidth="1"/>
    <col min="2830" max="2830" width="6.5703125" style="292" customWidth="1"/>
    <col min="2831" max="2831" width="2.7109375" style="292" customWidth="1"/>
    <col min="2832" max="2832" width="8.7109375" style="292" customWidth="1"/>
    <col min="2833" max="3072" width="9.140625" style="292"/>
    <col min="3073" max="3073" width="4.140625" style="292" customWidth="1"/>
    <col min="3074" max="3074" width="6.7109375" style="292" customWidth="1"/>
    <col min="3075" max="3075" width="14.7109375" style="292" customWidth="1"/>
    <col min="3076" max="3076" width="0.140625" style="292" customWidth="1"/>
    <col min="3077" max="3077" width="3.7109375" style="292" customWidth="1"/>
    <col min="3078" max="3078" width="7.7109375" style="292" customWidth="1"/>
    <col min="3079" max="3079" width="2.7109375" style="292" customWidth="1"/>
    <col min="3080" max="3080" width="7.140625" style="292" customWidth="1"/>
    <col min="3081" max="3081" width="0.85546875" style="292" customWidth="1"/>
    <col min="3082" max="3082" width="9.28515625" style="292" customWidth="1"/>
    <col min="3083" max="3083" width="3" style="292" customWidth="1"/>
    <col min="3084" max="3084" width="7.140625" style="292" customWidth="1"/>
    <col min="3085" max="3085" width="3.42578125" style="292" customWidth="1"/>
    <col min="3086" max="3086" width="6.5703125" style="292" customWidth="1"/>
    <col min="3087" max="3087" width="2.7109375" style="292" customWidth="1"/>
    <col min="3088" max="3088" width="8.7109375" style="292" customWidth="1"/>
    <col min="3089" max="3328" width="9.140625" style="292"/>
    <col min="3329" max="3329" width="4.140625" style="292" customWidth="1"/>
    <col min="3330" max="3330" width="6.7109375" style="292" customWidth="1"/>
    <col min="3331" max="3331" width="14.7109375" style="292" customWidth="1"/>
    <col min="3332" max="3332" width="0.140625" style="292" customWidth="1"/>
    <col min="3333" max="3333" width="3.7109375" style="292" customWidth="1"/>
    <col min="3334" max="3334" width="7.7109375" style="292" customWidth="1"/>
    <col min="3335" max="3335" width="2.7109375" style="292" customWidth="1"/>
    <col min="3336" max="3336" width="7.140625" style="292" customWidth="1"/>
    <col min="3337" max="3337" width="0.85546875" style="292" customWidth="1"/>
    <col min="3338" max="3338" width="9.28515625" style="292" customWidth="1"/>
    <col min="3339" max="3339" width="3" style="292" customWidth="1"/>
    <col min="3340" max="3340" width="7.140625" style="292" customWidth="1"/>
    <col min="3341" max="3341" width="3.42578125" style="292" customWidth="1"/>
    <col min="3342" max="3342" width="6.5703125" style="292" customWidth="1"/>
    <col min="3343" max="3343" width="2.7109375" style="292" customWidth="1"/>
    <col min="3344" max="3344" width="8.7109375" style="292" customWidth="1"/>
    <col min="3345" max="3584" width="9.140625" style="292"/>
    <col min="3585" max="3585" width="4.140625" style="292" customWidth="1"/>
    <col min="3586" max="3586" width="6.7109375" style="292" customWidth="1"/>
    <col min="3587" max="3587" width="14.7109375" style="292" customWidth="1"/>
    <col min="3588" max="3588" width="0.140625" style="292" customWidth="1"/>
    <col min="3589" max="3589" width="3.7109375" style="292" customWidth="1"/>
    <col min="3590" max="3590" width="7.7109375" style="292" customWidth="1"/>
    <col min="3591" max="3591" width="2.7109375" style="292" customWidth="1"/>
    <col min="3592" max="3592" width="7.140625" style="292" customWidth="1"/>
    <col min="3593" max="3593" width="0.85546875" style="292" customWidth="1"/>
    <col min="3594" max="3594" width="9.28515625" style="292" customWidth="1"/>
    <col min="3595" max="3595" width="3" style="292" customWidth="1"/>
    <col min="3596" max="3596" width="7.140625" style="292" customWidth="1"/>
    <col min="3597" max="3597" width="3.42578125" style="292" customWidth="1"/>
    <col min="3598" max="3598" width="6.5703125" style="292" customWidth="1"/>
    <col min="3599" max="3599" width="2.7109375" style="292" customWidth="1"/>
    <col min="3600" max="3600" width="8.7109375" style="292" customWidth="1"/>
    <col min="3601" max="3840" width="9.140625" style="292"/>
    <col min="3841" max="3841" width="4.140625" style="292" customWidth="1"/>
    <col min="3842" max="3842" width="6.7109375" style="292" customWidth="1"/>
    <col min="3843" max="3843" width="14.7109375" style="292" customWidth="1"/>
    <col min="3844" max="3844" width="0.140625" style="292" customWidth="1"/>
    <col min="3845" max="3845" width="3.7109375" style="292" customWidth="1"/>
    <col min="3846" max="3846" width="7.7109375" style="292" customWidth="1"/>
    <col min="3847" max="3847" width="2.7109375" style="292" customWidth="1"/>
    <col min="3848" max="3848" width="7.140625" style="292" customWidth="1"/>
    <col min="3849" max="3849" width="0.85546875" style="292" customWidth="1"/>
    <col min="3850" max="3850" width="9.28515625" style="292" customWidth="1"/>
    <col min="3851" max="3851" width="3" style="292" customWidth="1"/>
    <col min="3852" max="3852" width="7.140625" style="292" customWidth="1"/>
    <col min="3853" max="3853" width="3.42578125" style="292" customWidth="1"/>
    <col min="3854" max="3854" width="6.5703125" style="292" customWidth="1"/>
    <col min="3855" max="3855" width="2.7109375" style="292" customWidth="1"/>
    <col min="3856" max="3856" width="8.7109375" style="292" customWidth="1"/>
    <col min="3857" max="4096" width="9.140625" style="292"/>
    <col min="4097" max="4097" width="4.140625" style="292" customWidth="1"/>
    <col min="4098" max="4098" width="6.7109375" style="292" customWidth="1"/>
    <col min="4099" max="4099" width="14.7109375" style="292" customWidth="1"/>
    <col min="4100" max="4100" width="0.140625" style="292" customWidth="1"/>
    <col min="4101" max="4101" width="3.7109375" style="292" customWidth="1"/>
    <col min="4102" max="4102" width="7.7109375" style="292" customWidth="1"/>
    <col min="4103" max="4103" width="2.7109375" style="292" customWidth="1"/>
    <col min="4104" max="4104" width="7.140625" style="292" customWidth="1"/>
    <col min="4105" max="4105" width="0.85546875" style="292" customWidth="1"/>
    <col min="4106" max="4106" width="9.28515625" style="292" customWidth="1"/>
    <col min="4107" max="4107" width="3" style="292" customWidth="1"/>
    <col min="4108" max="4108" width="7.140625" style="292" customWidth="1"/>
    <col min="4109" max="4109" width="3.42578125" style="292" customWidth="1"/>
    <col min="4110" max="4110" width="6.5703125" style="292" customWidth="1"/>
    <col min="4111" max="4111" width="2.7109375" style="292" customWidth="1"/>
    <col min="4112" max="4112" width="8.7109375" style="292" customWidth="1"/>
    <col min="4113" max="4352" width="9.140625" style="292"/>
    <col min="4353" max="4353" width="4.140625" style="292" customWidth="1"/>
    <col min="4354" max="4354" width="6.7109375" style="292" customWidth="1"/>
    <col min="4355" max="4355" width="14.7109375" style="292" customWidth="1"/>
    <col min="4356" max="4356" width="0.140625" style="292" customWidth="1"/>
    <col min="4357" max="4357" width="3.7109375" style="292" customWidth="1"/>
    <col min="4358" max="4358" width="7.7109375" style="292" customWidth="1"/>
    <col min="4359" max="4359" width="2.7109375" style="292" customWidth="1"/>
    <col min="4360" max="4360" width="7.140625" style="292" customWidth="1"/>
    <col min="4361" max="4361" width="0.85546875" style="292" customWidth="1"/>
    <col min="4362" max="4362" width="9.28515625" style="292" customWidth="1"/>
    <col min="4363" max="4363" width="3" style="292" customWidth="1"/>
    <col min="4364" max="4364" width="7.140625" style="292" customWidth="1"/>
    <col min="4365" max="4365" width="3.42578125" style="292" customWidth="1"/>
    <col min="4366" max="4366" width="6.5703125" style="292" customWidth="1"/>
    <col min="4367" max="4367" width="2.7109375" style="292" customWidth="1"/>
    <col min="4368" max="4368" width="8.7109375" style="292" customWidth="1"/>
    <col min="4369" max="4608" width="9.140625" style="292"/>
    <col min="4609" max="4609" width="4.140625" style="292" customWidth="1"/>
    <col min="4610" max="4610" width="6.7109375" style="292" customWidth="1"/>
    <col min="4611" max="4611" width="14.7109375" style="292" customWidth="1"/>
    <col min="4612" max="4612" width="0.140625" style="292" customWidth="1"/>
    <col min="4613" max="4613" width="3.7109375" style="292" customWidth="1"/>
    <col min="4614" max="4614" width="7.7109375" style="292" customWidth="1"/>
    <col min="4615" max="4615" width="2.7109375" style="292" customWidth="1"/>
    <col min="4616" max="4616" width="7.140625" style="292" customWidth="1"/>
    <col min="4617" max="4617" width="0.85546875" style="292" customWidth="1"/>
    <col min="4618" max="4618" width="9.28515625" style="292" customWidth="1"/>
    <col min="4619" max="4619" width="3" style="292" customWidth="1"/>
    <col min="4620" max="4620" width="7.140625" style="292" customWidth="1"/>
    <col min="4621" max="4621" width="3.42578125" style="292" customWidth="1"/>
    <col min="4622" max="4622" width="6.5703125" style="292" customWidth="1"/>
    <col min="4623" max="4623" width="2.7109375" style="292" customWidth="1"/>
    <col min="4624" max="4624" width="8.7109375" style="292" customWidth="1"/>
    <col min="4625" max="4864" width="9.140625" style="292"/>
    <col min="4865" max="4865" width="4.140625" style="292" customWidth="1"/>
    <col min="4866" max="4866" width="6.7109375" style="292" customWidth="1"/>
    <col min="4867" max="4867" width="14.7109375" style="292" customWidth="1"/>
    <col min="4868" max="4868" width="0.140625" style="292" customWidth="1"/>
    <col min="4869" max="4869" width="3.7109375" style="292" customWidth="1"/>
    <col min="4870" max="4870" width="7.7109375" style="292" customWidth="1"/>
    <col min="4871" max="4871" width="2.7109375" style="292" customWidth="1"/>
    <col min="4872" max="4872" width="7.140625" style="292" customWidth="1"/>
    <col min="4873" max="4873" width="0.85546875" style="292" customWidth="1"/>
    <col min="4874" max="4874" width="9.28515625" style="292" customWidth="1"/>
    <col min="4875" max="4875" width="3" style="292" customWidth="1"/>
    <col min="4876" max="4876" width="7.140625" style="292" customWidth="1"/>
    <col min="4877" max="4877" width="3.42578125" style="292" customWidth="1"/>
    <col min="4878" max="4878" width="6.5703125" style="292" customWidth="1"/>
    <col min="4879" max="4879" width="2.7109375" style="292" customWidth="1"/>
    <col min="4880" max="4880" width="8.7109375" style="292" customWidth="1"/>
    <col min="4881" max="5120" width="9.140625" style="292"/>
    <col min="5121" max="5121" width="4.140625" style="292" customWidth="1"/>
    <col min="5122" max="5122" width="6.7109375" style="292" customWidth="1"/>
    <col min="5123" max="5123" width="14.7109375" style="292" customWidth="1"/>
    <col min="5124" max="5124" width="0.140625" style="292" customWidth="1"/>
    <col min="5125" max="5125" width="3.7109375" style="292" customWidth="1"/>
    <col min="5126" max="5126" width="7.7109375" style="292" customWidth="1"/>
    <col min="5127" max="5127" width="2.7109375" style="292" customWidth="1"/>
    <col min="5128" max="5128" width="7.140625" style="292" customWidth="1"/>
    <col min="5129" max="5129" width="0.85546875" style="292" customWidth="1"/>
    <col min="5130" max="5130" width="9.28515625" style="292" customWidth="1"/>
    <col min="5131" max="5131" width="3" style="292" customWidth="1"/>
    <col min="5132" max="5132" width="7.140625" style="292" customWidth="1"/>
    <col min="5133" max="5133" width="3.42578125" style="292" customWidth="1"/>
    <col min="5134" max="5134" width="6.5703125" style="292" customWidth="1"/>
    <col min="5135" max="5135" width="2.7109375" style="292" customWidth="1"/>
    <col min="5136" max="5136" width="8.7109375" style="292" customWidth="1"/>
    <col min="5137" max="5376" width="9.140625" style="292"/>
    <col min="5377" max="5377" width="4.140625" style="292" customWidth="1"/>
    <col min="5378" max="5378" width="6.7109375" style="292" customWidth="1"/>
    <col min="5379" max="5379" width="14.7109375" style="292" customWidth="1"/>
    <col min="5380" max="5380" width="0.140625" style="292" customWidth="1"/>
    <col min="5381" max="5381" width="3.7109375" style="292" customWidth="1"/>
    <col min="5382" max="5382" width="7.7109375" style="292" customWidth="1"/>
    <col min="5383" max="5383" width="2.7109375" style="292" customWidth="1"/>
    <col min="5384" max="5384" width="7.140625" style="292" customWidth="1"/>
    <col min="5385" max="5385" width="0.85546875" style="292" customWidth="1"/>
    <col min="5386" max="5386" width="9.28515625" style="292" customWidth="1"/>
    <col min="5387" max="5387" width="3" style="292" customWidth="1"/>
    <col min="5388" max="5388" width="7.140625" style="292" customWidth="1"/>
    <col min="5389" max="5389" width="3.42578125" style="292" customWidth="1"/>
    <col min="5390" max="5390" width="6.5703125" style="292" customWidth="1"/>
    <col min="5391" max="5391" width="2.7109375" style="292" customWidth="1"/>
    <col min="5392" max="5392" width="8.7109375" style="292" customWidth="1"/>
    <col min="5393" max="5632" width="9.140625" style="292"/>
    <col min="5633" max="5633" width="4.140625" style="292" customWidth="1"/>
    <col min="5634" max="5634" width="6.7109375" style="292" customWidth="1"/>
    <col min="5635" max="5635" width="14.7109375" style="292" customWidth="1"/>
    <col min="5636" max="5636" width="0.140625" style="292" customWidth="1"/>
    <col min="5637" max="5637" width="3.7109375" style="292" customWidth="1"/>
    <col min="5638" max="5638" width="7.7109375" style="292" customWidth="1"/>
    <col min="5639" max="5639" width="2.7109375" style="292" customWidth="1"/>
    <col min="5640" max="5640" width="7.140625" style="292" customWidth="1"/>
    <col min="5641" max="5641" width="0.85546875" style="292" customWidth="1"/>
    <col min="5642" max="5642" width="9.28515625" style="292" customWidth="1"/>
    <col min="5643" max="5643" width="3" style="292" customWidth="1"/>
    <col min="5644" max="5644" width="7.140625" style="292" customWidth="1"/>
    <col min="5645" max="5645" width="3.42578125" style="292" customWidth="1"/>
    <col min="5646" max="5646" width="6.5703125" style="292" customWidth="1"/>
    <col min="5647" max="5647" width="2.7109375" style="292" customWidth="1"/>
    <col min="5648" max="5648" width="8.7109375" style="292" customWidth="1"/>
    <col min="5649" max="5888" width="9.140625" style="292"/>
    <col min="5889" max="5889" width="4.140625" style="292" customWidth="1"/>
    <col min="5890" max="5890" width="6.7109375" style="292" customWidth="1"/>
    <col min="5891" max="5891" width="14.7109375" style="292" customWidth="1"/>
    <col min="5892" max="5892" width="0.140625" style="292" customWidth="1"/>
    <col min="5893" max="5893" width="3.7109375" style="292" customWidth="1"/>
    <col min="5894" max="5894" width="7.7109375" style="292" customWidth="1"/>
    <col min="5895" max="5895" width="2.7109375" style="292" customWidth="1"/>
    <col min="5896" max="5896" width="7.140625" style="292" customWidth="1"/>
    <col min="5897" max="5897" width="0.85546875" style="292" customWidth="1"/>
    <col min="5898" max="5898" width="9.28515625" style="292" customWidth="1"/>
    <col min="5899" max="5899" width="3" style="292" customWidth="1"/>
    <col min="5900" max="5900" width="7.140625" style="292" customWidth="1"/>
    <col min="5901" max="5901" width="3.42578125" style="292" customWidth="1"/>
    <col min="5902" max="5902" width="6.5703125" style="292" customWidth="1"/>
    <col min="5903" max="5903" width="2.7109375" style="292" customWidth="1"/>
    <col min="5904" max="5904" width="8.7109375" style="292" customWidth="1"/>
    <col min="5905" max="6144" width="9.140625" style="292"/>
    <col min="6145" max="6145" width="4.140625" style="292" customWidth="1"/>
    <col min="6146" max="6146" width="6.7109375" style="292" customWidth="1"/>
    <col min="6147" max="6147" width="14.7109375" style="292" customWidth="1"/>
    <col min="6148" max="6148" width="0.140625" style="292" customWidth="1"/>
    <col min="6149" max="6149" width="3.7109375" style="292" customWidth="1"/>
    <col min="6150" max="6150" width="7.7109375" style="292" customWidth="1"/>
    <col min="6151" max="6151" width="2.7109375" style="292" customWidth="1"/>
    <col min="6152" max="6152" width="7.140625" style="292" customWidth="1"/>
    <col min="6153" max="6153" width="0.85546875" style="292" customWidth="1"/>
    <col min="6154" max="6154" width="9.28515625" style="292" customWidth="1"/>
    <col min="6155" max="6155" width="3" style="292" customWidth="1"/>
    <col min="6156" max="6156" width="7.140625" style="292" customWidth="1"/>
    <col min="6157" max="6157" width="3.42578125" style="292" customWidth="1"/>
    <col min="6158" max="6158" width="6.5703125" style="292" customWidth="1"/>
    <col min="6159" max="6159" width="2.7109375" style="292" customWidth="1"/>
    <col min="6160" max="6160" width="8.7109375" style="292" customWidth="1"/>
    <col min="6161" max="6400" width="9.140625" style="292"/>
    <col min="6401" max="6401" width="4.140625" style="292" customWidth="1"/>
    <col min="6402" max="6402" width="6.7109375" style="292" customWidth="1"/>
    <col min="6403" max="6403" width="14.7109375" style="292" customWidth="1"/>
    <col min="6404" max="6404" width="0.140625" style="292" customWidth="1"/>
    <col min="6405" max="6405" width="3.7109375" style="292" customWidth="1"/>
    <col min="6406" max="6406" width="7.7109375" style="292" customWidth="1"/>
    <col min="6407" max="6407" width="2.7109375" style="292" customWidth="1"/>
    <col min="6408" max="6408" width="7.140625" style="292" customWidth="1"/>
    <col min="6409" max="6409" width="0.85546875" style="292" customWidth="1"/>
    <col min="6410" max="6410" width="9.28515625" style="292" customWidth="1"/>
    <col min="6411" max="6411" width="3" style="292" customWidth="1"/>
    <col min="6412" max="6412" width="7.140625" style="292" customWidth="1"/>
    <col min="6413" max="6413" width="3.42578125" style="292" customWidth="1"/>
    <col min="6414" max="6414" width="6.5703125" style="292" customWidth="1"/>
    <col min="6415" max="6415" width="2.7109375" style="292" customWidth="1"/>
    <col min="6416" max="6416" width="8.7109375" style="292" customWidth="1"/>
    <col min="6417" max="6656" width="9.140625" style="292"/>
    <col min="6657" max="6657" width="4.140625" style="292" customWidth="1"/>
    <col min="6658" max="6658" width="6.7109375" style="292" customWidth="1"/>
    <col min="6659" max="6659" width="14.7109375" style="292" customWidth="1"/>
    <col min="6660" max="6660" width="0.140625" style="292" customWidth="1"/>
    <col min="6661" max="6661" width="3.7109375" style="292" customWidth="1"/>
    <col min="6662" max="6662" width="7.7109375" style="292" customWidth="1"/>
    <col min="6663" max="6663" width="2.7109375" style="292" customWidth="1"/>
    <col min="6664" max="6664" width="7.140625" style="292" customWidth="1"/>
    <col min="6665" max="6665" width="0.85546875" style="292" customWidth="1"/>
    <col min="6666" max="6666" width="9.28515625" style="292" customWidth="1"/>
    <col min="6667" max="6667" width="3" style="292" customWidth="1"/>
    <col min="6668" max="6668" width="7.140625" style="292" customWidth="1"/>
    <col min="6669" max="6669" width="3.42578125" style="292" customWidth="1"/>
    <col min="6670" max="6670" width="6.5703125" style="292" customWidth="1"/>
    <col min="6671" max="6671" width="2.7109375" style="292" customWidth="1"/>
    <col min="6672" max="6672" width="8.7109375" style="292" customWidth="1"/>
    <col min="6673" max="6912" width="9.140625" style="292"/>
    <col min="6913" max="6913" width="4.140625" style="292" customWidth="1"/>
    <col min="6914" max="6914" width="6.7109375" style="292" customWidth="1"/>
    <col min="6915" max="6915" width="14.7109375" style="292" customWidth="1"/>
    <col min="6916" max="6916" width="0.140625" style="292" customWidth="1"/>
    <col min="6917" max="6917" width="3.7109375" style="292" customWidth="1"/>
    <col min="6918" max="6918" width="7.7109375" style="292" customWidth="1"/>
    <col min="6919" max="6919" width="2.7109375" style="292" customWidth="1"/>
    <col min="6920" max="6920" width="7.140625" style="292" customWidth="1"/>
    <col min="6921" max="6921" width="0.85546875" style="292" customWidth="1"/>
    <col min="6922" max="6922" width="9.28515625" style="292" customWidth="1"/>
    <col min="6923" max="6923" width="3" style="292" customWidth="1"/>
    <col min="6924" max="6924" width="7.140625" style="292" customWidth="1"/>
    <col min="6925" max="6925" width="3.42578125" style="292" customWidth="1"/>
    <col min="6926" max="6926" width="6.5703125" style="292" customWidth="1"/>
    <col min="6927" max="6927" width="2.7109375" style="292" customWidth="1"/>
    <col min="6928" max="6928" width="8.7109375" style="292" customWidth="1"/>
    <col min="6929" max="7168" width="9.140625" style="292"/>
    <col min="7169" max="7169" width="4.140625" style="292" customWidth="1"/>
    <col min="7170" max="7170" width="6.7109375" style="292" customWidth="1"/>
    <col min="7171" max="7171" width="14.7109375" style="292" customWidth="1"/>
    <col min="7172" max="7172" width="0.140625" style="292" customWidth="1"/>
    <col min="7173" max="7173" width="3.7109375" style="292" customWidth="1"/>
    <col min="7174" max="7174" width="7.7109375" style="292" customWidth="1"/>
    <col min="7175" max="7175" width="2.7109375" style="292" customWidth="1"/>
    <col min="7176" max="7176" width="7.140625" style="292" customWidth="1"/>
    <col min="7177" max="7177" width="0.85546875" style="292" customWidth="1"/>
    <col min="7178" max="7178" width="9.28515625" style="292" customWidth="1"/>
    <col min="7179" max="7179" width="3" style="292" customWidth="1"/>
    <col min="7180" max="7180" width="7.140625" style="292" customWidth="1"/>
    <col min="7181" max="7181" width="3.42578125" style="292" customWidth="1"/>
    <col min="7182" max="7182" width="6.5703125" style="292" customWidth="1"/>
    <col min="7183" max="7183" width="2.7109375" style="292" customWidth="1"/>
    <col min="7184" max="7184" width="8.7109375" style="292" customWidth="1"/>
    <col min="7185" max="7424" width="9.140625" style="292"/>
    <col min="7425" max="7425" width="4.140625" style="292" customWidth="1"/>
    <col min="7426" max="7426" width="6.7109375" style="292" customWidth="1"/>
    <col min="7427" max="7427" width="14.7109375" style="292" customWidth="1"/>
    <col min="7428" max="7428" width="0.140625" style="292" customWidth="1"/>
    <col min="7429" max="7429" width="3.7109375" style="292" customWidth="1"/>
    <col min="7430" max="7430" width="7.7109375" style="292" customWidth="1"/>
    <col min="7431" max="7431" width="2.7109375" style="292" customWidth="1"/>
    <col min="7432" max="7432" width="7.140625" style="292" customWidth="1"/>
    <col min="7433" max="7433" width="0.85546875" style="292" customWidth="1"/>
    <col min="7434" max="7434" width="9.28515625" style="292" customWidth="1"/>
    <col min="7435" max="7435" width="3" style="292" customWidth="1"/>
    <col min="7436" max="7436" width="7.140625" style="292" customWidth="1"/>
    <col min="7437" max="7437" width="3.42578125" style="292" customWidth="1"/>
    <col min="7438" max="7438" width="6.5703125" style="292" customWidth="1"/>
    <col min="7439" max="7439" width="2.7109375" style="292" customWidth="1"/>
    <col min="7440" max="7440" width="8.7109375" style="292" customWidth="1"/>
    <col min="7441" max="7680" width="9.140625" style="292"/>
    <col min="7681" max="7681" width="4.140625" style="292" customWidth="1"/>
    <col min="7682" max="7682" width="6.7109375" style="292" customWidth="1"/>
    <col min="7683" max="7683" width="14.7109375" style="292" customWidth="1"/>
    <col min="7684" max="7684" width="0.140625" style="292" customWidth="1"/>
    <col min="7685" max="7685" width="3.7109375" style="292" customWidth="1"/>
    <col min="7686" max="7686" width="7.7109375" style="292" customWidth="1"/>
    <col min="7687" max="7687" width="2.7109375" style="292" customWidth="1"/>
    <col min="7688" max="7688" width="7.140625" style="292" customWidth="1"/>
    <col min="7689" max="7689" width="0.85546875" style="292" customWidth="1"/>
    <col min="7690" max="7690" width="9.28515625" style="292" customWidth="1"/>
    <col min="7691" max="7691" width="3" style="292" customWidth="1"/>
    <col min="7692" max="7692" width="7.140625" style="292" customWidth="1"/>
    <col min="7693" max="7693" width="3.42578125" style="292" customWidth="1"/>
    <col min="7694" max="7694" width="6.5703125" style="292" customWidth="1"/>
    <col min="7695" max="7695" width="2.7109375" style="292" customWidth="1"/>
    <col min="7696" max="7696" width="8.7109375" style="292" customWidth="1"/>
    <col min="7697" max="7936" width="9.140625" style="292"/>
    <col min="7937" max="7937" width="4.140625" style="292" customWidth="1"/>
    <col min="7938" max="7938" width="6.7109375" style="292" customWidth="1"/>
    <col min="7939" max="7939" width="14.7109375" style="292" customWidth="1"/>
    <col min="7940" max="7940" width="0.140625" style="292" customWidth="1"/>
    <col min="7941" max="7941" width="3.7109375" style="292" customWidth="1"/>
    <col min="7942" max="7942" width="7.7109375" style="292" customWidth="1"/>
    <col min="7943" max="7943" width="2.7109375" style="292" customWidth="1"/>
    <col min="7944" max="7944" width="7.140625" style="292" customWidth="1"/>
    <col min="7945" max="7945" width="0.85546875" style="292" customWidth="1"/>
    <col min="7946" max="7946" width="9.28515625" style="292" customWidth="1"/>
    <col min="7947" max="7947" width="3" style="292" customWidth="1"/>
    <col min="7948" max="7948" width="7.140625" style="292" customWidth="1"/>
    <col min="7949" max="7949" width="3.42578125" style="292" customWidth="1"/>
    <col min="7950" max="7950" width="6.5703125" style="292" customWidth="1"/>
    <col min="7951" max="7951" width="2.7109375" style="292" customWidth="1"/>
    <col min="7952" max="7952" width="8.7109375" style="292" customWidth="1"/>
    <col min="7953" max="8192" width="9.140625" style="292"/>
    <col min="8193" max="8193" width="4.140625" style="292" customWidth="1"/>
    <col min="8194" max="8194" width="6.7109375" style="292" customWidth="1"/>
    <col min="8195" max="8195" width="14.7109375" style="292" customWidth="1"/>
    <col min="8196" max="8196" width="0.140625" style="292" customWidth="1"/>
    <col min="8197" max="8197" width="3.7109375" style="292" customWidth="1"/>
    <col min="8198" max="8198" width="7.7109375" style="292" customWidth="1"/>
    <col min="8199" max="8199" width="2.7109375" style="292" customWidth="1"/>
    <col min="8200" max="8200" width="7.140625" style="292" customWidth="1"/>
    <col min="8201" max="8201" width="0.85546875" style="292" customWidth="1"/>
    <col min="8202" max="8202" width="9.28515625" style="292" customWidth="1"/>
    <col min="8203" max="8203" width="3" style="292" customWidth="1"/>
    <col min="8204" max="8204" width="7.140625" style="292" customWidth="1"/>
    <col min="8205" max="8205" width="3.42578125" style="292" customWidth="1"/>
    <col min="8206" max="8206" width="6.5703125" style="292" customWidth="1"/>
    <col min="8207" max="8207" width="2.7109375" style="292" customWidth="1"/>
    <col min="8208" max="8208" width="8.7109375" style="292" customWidth="1"/>
    <col min="8209" max="8448" width="9.140625" style="292"/>
    <col min="8449" max="8449" width="4.140625" style="292" customWidth="1"/>
    <col min="8450" max="8450" width="6.7109375" style="292" customWidth="1"/>
    <col min="8451" max="8451" width="14.7109375" style="292" customWidth="1"/>
    <col min="8452" max="8452" width="0.140625" style="292" customWidth="1"/>
    <col min="8453" max="8453" width="3.7109375" style="292" customWidth="1"/>
    <col min="8454" max="8454" width="7.7109375" style="292" customWidth="1"/>
    <col min="8455" max="8455" width="2.7109375" style="292" customWidth="1"/>
    <col min="8456" max="8456" width="7.140625" style="292" customWidth="1"/>
    <col min="8457" max="8457" width="0.85546875" style="292" customWidth="1"/>
    <col min="8458" max="8458" width="9.28515625" style="292" customWidth="1"/>
    <col min="8459" max="8459" width="3" style="292" customWidth="1"/>
    <col min="8460" max="8460" width="7.140625" style="292" customWidth="1"/>
    <col min="8461" max="8461" width="3.42578125" style="292" customWidth="1"/>
    <col min="8462" max="8462" width="6.5703125" style="292" customWidth="1"/>
    <col min="8463" max="8463" width="2.7109375" style="292" customWidth="1"/>
    <col min="8464" max="8464" width="8.7109375" style="292" customWidth="1"/>
    <col min="8465" max="8704" width="9.140625" style="292"/>
    <col min="8705" max="8705" width="4.140625" style="292" customWidth="1"/>
    <col min="8706" max="8706" width="6.7109375" style="292" customWidth="1"/>
    <col min="8707" max="8707" width="14.7109375" style="292" customWidth="1"/>
    <col min="8708" max="8708" width="0.140625" style="292" customWidth="1"/>
    <col min="8709" max="8709" width="3.7109375" style="292" customWidth="1"/>
    <col min="8710" max="8710" width="7.7109375" style="292" customWidth="1"/>
    <col min="8711" max="8711" width="2.7109375" style="292" customWidth="1"/>
    <col min="8712" max="8712" width="7.140625" style="292" customWidth="1"/>
    <col min="8713" max="8713" width="0.85546875" style="292" customWidth="1"/>
    <col min="8714" max="8714" width="9.28515625" style="292" customWidth="1"/>
    <col min="8715" max="8715" width="3" style="292" customWidth="1"/>
    <col min="8716" max="8716" width="7.140625" style="292" customWidth="1"/>
    <col min="8717" max="8717" width="3.42578125" style="292" customWidth="1"/>
    <col min="8718" max="8718" width="6.5703125" style="292" customWidth="1"/>
    <col min="8719" max="8719" width="2.7109375" style="292" customWidth="1"/>
    <col min="8720" max="8720" width="8.7109375" style="292" customWidth="1"/>
    <col min="8721" max="8960" width="9.140625" style="292"/>
    <col min="8961" max="8961" width="4.140625" style="292" customWidth="1"/>
    <col min="8962" max="8962" width="6.7109375" style="292" customWidth="1"/>
    <col min="8963" max="8963" width="14.7109375" style="292" customWidth="1"/>
    <col min="8964" max="8964" width="0.140625" style="292" customWidth="1"/>
    <col min="8965" max="8965" width="3.7109375" style="292" customWidth="1"/>
    <col min="8966" max="8966" width="7.7109375" style="292" customWidth="1"/>
    <col min="8967" max="8967" width="2.7109375" style="292" customWidth="1"/>
    <col min="8968" max="8968" width="7.140625" style="292" customWidth="1"/>
    <col min="8969" max="8969" width="0.85546875" style="292" customWidth="1"/>
    <col min="8970" max="8970" width="9.28515625" style="292" customWidth="1"/>
    <col min="8971" max="8971" width="3" style="292" customWidth="1"/>
    <col min="8972" max="8972" width="7.140625" style="292" customWidth="1"/>
    <col min="8973" max="8973" width="3.42578125" style="292" customWidth="1"/>
    <col min="8974" max="8974" width="6.5703125" style="292" customWidth="1"/>
    <col min="8975" max="8975" width="2.7109375" style="292" customWidth="1"/>
    <col min="8976" max="8976" width="8.7109375" style="292" customWidth="1"/>
    <col min="8977" max="9216" width="9.140625" style="292"/>
    <col min="9217" max="9217" width="4.140625" style="292" customWidth="1"/>
    <col min="9218" max="9218" width="6.7109375" style="292" customWidth="1"/>
    <col min="9219" max="9219" width="14.7109375" style="292" customWidth="1"/>
    <col min="9220" max="9220" width="0.140625" style="292" customWidth="1"/>
    <col min="9221" max="9221" width="3.7109375" style="292" customWidth="1"/>
    <col min="9222" max="9222" width="7.7109375" style="292" customWidth="1"/>
    <col min="9223" max="9223" width="2.7109375" style="292" customWidth="1"/>
    <col min="9224" max="9224" width="7.140625" style="292" customWidth="1"/>
    <col min="9225" max="9225" width="0.85546875" style="292" customWidth="1"/>
    <col min="9226" max="9226" width="9.28515625" style="292" customWidth="1"/>
    <col min="9227" max="9227" width="3" style="292" customWidth="1"/>
    <col min="9228" max="9228" width="7.140625" style="292" customWidth="1"/>
    <col min="9229" max="9229" width="3.42578125" style="292" customWidth="1"/>
    <col min="9230" max="9230" width="6.5703125" style="292" customWidth="1"/>
    <col min="9231" max="9231" width="2.7109375" style="292" customWidth="1"/>
    <col min="9232" max="9232" width="8.7109375" style="292" customWidth="1"/>
    <col min="9233" max="9472" width="9.140625" style="292"/>
    <col min="9473" max="9473" width="4.140625" style="292" customWidth="1"/>
    <col min="9474" max="9474" width="6.7109375" style="292" customWidth="1"/>
    <col min="9475" max="9475" width="14.7109375" style="292" customWidth="1"/>
    <col min="9476" max="9476" width="0.140625" style="292" customWidth="1"/>
    <col min="9477" max="9477" width="3.7109375" style="292" customWidth="1"/>
    <col min="9478" max="9478" width="7.7109375" style="292" customWidth="1"/>
    <col min="9479" max="9479" width="2.7109375" style="292" customWidth="1"/>
    <col min="9480" max="9480" width="7.140625" style="292" customWidth="1"/>
    <col min="9481" max="9481" width="0.85546875" style="292" customWidth="1"/>
    <col min="9482" max="9482" width="9.28515625" style="292" customWidth="1"/>
    <col min="9483" max="9483" width="3" style="292" customWidth="1"/>
    <col min="9484" max="9484" width="7.140625" style="292" customWidth="1"/>
    <col min="9485" max="9485" width="3.42578125" style="292" customWidth="1"/>
    <col min="9486" max="9486" width="6.5703125" style="292" customWidth="1"/>
    <col min="9487" max="9487" width="2.7109375" style="292" customWidth="1"/>
    <col min="9488" max="9488" width="8.7109375" style="292" customWidth="1"/>
    <col min="9489" max="9728" width="9.140625" style="292"/>
    <col min="9729" max="9729" width="4.140625" style="292" customWidth="1"/>
    <col min="9730" max="9730" width="6.7109375" style="292" customWidth="1"/>
    <col min="9731" max="9731" width="14.7109375" style="292" customWidth="1"/>
    <col min="9732" max="9732" width="0.140625" style="292" customWidth="1"/>
    <col min="9733" max="9733" width="3.7109375" style="292" customWidth="1"/>
    <col min="9734" max="9734" width="7.7109375" style="292" customWidth="1"/>
    <col min="9735" max="9735" width="2.7109375" style="292" customWidth="1"/>
    <col min="9736" max="9736" width="7.140625" style="292" customWidth="1"/>
    <col min="9737" max="9737" width="0.85546875" style="292" customWidth="1"/>
    <col min="9738" max="9738" width="9.28515625" style="292" customWidth="1"/>
    <col min="9739" max="9739" width="3" style="292" customWidth="1"/>
    <col min="9740" max="9740" width="7.140625" style="292" customWidth="1"/>
    <col min="9741" max="9741" width="3.42578125" style="292" customWidth="1"/>
    <col min="9742" max="9742" width="6.5703125" style="292" customWidth="1"/>
    <col min="9743" max="9743" width="2.7109375" style="292" customWidth="1"/>
    <col min="9744" max="9744" width="8.7109375" style="292" customWidth="1"/>
    <col min="9745" max="9984" width="9.140625" style="292"/>
    <col min="9985" max="9985" width="4.140625" style="292" customWidth="1"/>
    <col min="9986" max="9986" width="6.7109375" style="292" customWidth="1"/>
    <col min="9987" max="9987" width="14.7109375" style="292" customWidth="1"/>
    <col min="9988" max="9988" width="0.140625" style="292" customWidth="1"/>
    <col min="9989" max="9989" width="3.7109375" style="292" customWidth="1"/>
    <col min="9990" max="9990" width="7.7109375" style="292" customWidth="1"/>
    <col min="9991" max="9991" width="2.7109375" style="292" customWidth="1"/>
    <col min="9992" max="9992" width="7.140625" style="292" customWidth="1"/>
    <col min="9993" max="9993" width="0.85546875" style="292" customWidth="1"/>
    <col min="9994" max="9994" width="9.28515625" style="292" customWidth="1"/>
    <col min="9995" max="9995" width="3" style="292" customWidth="1"/>
    <col min="9996" max="9996" width="7.140625" style="292" customWidth="1"/>
    <col min="9997" max="9997" width="3.42578125" style="292" customWidth="1"/>
    <col min="9998" max="9998" width="6.5703125" style="292" customWidth="1"/>
    <col min="9999" max="9999" width="2.7109375" style="292" customWidth="1"/>
    <col min="10000" max="10000" width="8.7109375" style="292" customWidth="1"/>
    <col min="10001" max="10240" width="9.140625" style="292"/>
    <col min="10241" max="10241" width="4.140625" style="292" customWidth="1"/>
    <col min="10242" max="10242" width="6.7109375" style="292" customWidth="1"/>
    <col min="10243" max="10243" width="14.7109375" style="292" customWidth="1"/>
    <col min="10244" max="10244" width="0.140625" style="292" customWidth="1"/>
    <col min="10245" max="10245" width="3.7109375" style="292" customWidth="1"/>
    <col min="10246" max="10246" width="7.7109375" style="292" customWidth="1"/>
    <col min="10247" max="10247" width="2.7109375" style="292" customWidth="1"/>
    <col min="10248" max="10248" width="7.140625" style="292" customWidth="1"/>
    <col min="10249" max="10249" width="0.85546875" style="292" customWidth="1"/>
    <col min="10250" max="10250" width="9.28515625" style="292" customWidth="1"/>
    <col min="10251" max="10251" width="3" style="292" customWidth="1"/>
    <col min="10252" max="10252" width="7.140625" style="292" customWidth="1"/>
    <col min="10253" max="10253" width="3.42578125" style="292" customWidth="1"/>
    <col min="10254" max="10254" width="6.5703125" style="292" customWidth="1"/>
    <col min="10255" max="10255" width="2.7109375" style="292" customWidth="1"/>
    <col min="10256" max="10256" width="8.7109375" style="292" customWidth="1"/>
    <col min="10257" max="10496" width="9.140625" style="292"/>
    <col min="10497" max="10497" width="4.140625" style="292" customWidth="1"/>
    <col min="10498" max="10498" width="6.7109375" style="292" customWidth="1"/>
    <col min="10499" max="10499" width="14.7109375" style="292" customWidth="1"/>
    <col min="10500" max="10500" width="0.140625" style="292" customWidth="1"/>
    <col min="10501" max="10501" width="3.7109375" style="292" customWidth="1"/>
    <col min="10502" max="10502" width="7.7109375" style="292" customWidth="1"/>
    <col min="10503" max="10503" width="2.7109375" style="292" customWidth="1"/>
    <col min="10504" max="10504" width="7.140625" style="292" customWidth="1"/>
    <col min="10505" max="10505" width="0.85546875" style="292" customWidth="1"/>
    <col min="10506" max="10506" width="9.28515625" style="292" customWidth="1"/>
    <col min="10507" max="10507" width="3" style="292" customWidth="1"/>
    <col min="10508" max="10508" width="7.140625" style="292" customWidth="1"/>
    <col min="10509" max="10509" width="3.42578125" style="292" customWidth="1"/>
    <col min="10510" max="10510" width="6.5703125" style="292" customWidth="1"/>
    <col min="10511" max="10511" width="2.7109375" style="292" customWidth="1"/>
    <col min="10512" max="10512" width="8.7109375" style="292" customWidth="1"/>
    <col min="10513" max="10752" width="9.140625" style="292"/>
    <col min="10753" max="10753" width="4.140625" style="292" customWidth="1"/>
    <col min="10754" max="10754" width="6.7109375" style="292" customWidth="1"/>
    <col min="10755" max="10755" width="14.7109375" style="292" customWidth="1"/>
    <col min="10756" max="10756" width="0.140625" style="292" customWidth="1"/>
    <col min="10757" max="10757" width="3.7109375" style="292" customWidth="1"/>
    <col min="10758" max="10758" width="7.7109375" style="292" customWidth="1"/>
    <col min="10759" max="10759" width="2.7109375" style="292" customWidth="1"/>
    <col min="10760" max="10760" width="7.140625" style="292" customWidth="1"/>
    <col min="10761" max="10761" width="0.85546875" style="292" customWidth="1"/>
    <col min="10762" max="10762" width="9.28515625" style="292" customWidth="1"/>
    <col min="10763" max="10763" width="3" style="292" customWidth="1"/>
    <col min="10764" max="10764" width="7.140625" style="292" customWidth="1"/>
    <col min="10765" max="10765" width="3.42578125" style="292" customWidth="1"/>
    <col min="10766" max="10766" width="6.5703125" style="292" customWidth="1"/>
    <col min="10767" max="10767" width="2.7109375" style="292" customWidth="1"/>
    <col min="10768" max="10768" width="8.7109375" style="292" customWidth="1"/>
    <col min="10769" max="11008" width="9.140625" style="292"/>
    <col min="11009" max="11009" width="4.140625" style="292" customWidth="1"/>
    <col min="11010" max="11010" width="6.7109375" style="292" customWidth="1"/>
    <col min="11011" max="11011" width="14.7109375" style="292" customWidth="1"/>
    <col min="11012" max="11012" width="0.140625" style="292" customWidth="1"/>
    <col min="11013" max="11013" width="3.7109375" style="292" customWidth="1"/>
    <col min="11014" max="11014" width="7.7109375" style="292" customWidth="1"/>
    <col min="11015" max="11015" width="2.7109375" style="292" customWidth="1"/>
    <col min="11016" max="11016" width="7.140625" style="292" customWidth="1"/>
    <col min="11017" max="11017" width="0.85546875" style="292" customWidth="1"/>
    <col min="11018" max="11018" width="9.28515625" style="292" customWidth="1"/>
    <col min="11019" max="11019" width="3" style="292" customWidth="1"/>
    <col min="11020" max="11020" width="7.140625" style="292" customWidth="1"/>
    <col min="11021" max="11021" width="3.42578125" style="292" customWidth="1"/>
    <col min="11022" max="11022" width="6.5703125" style="292" customWidth="1"/>
    <col min="11023" max="11023" width="2.7109375" style="292" customWidth="1"/>
    <col min="11024" max="11024" width="8.7109375" style="292" customWidth="1"/>
    <col min="11025" max="11264" width="9.140625" style="292"/>
    <col min="11265" max="11265" width="4.140625" style="292" customWidth="1"/>
    <col min="11266" max="11266" width="6.7109375" style="292" customWidth="1"/>
    <col min="11267" max="11267" width="14.7109375" style="292" customWidth="1"/>
    <col min="11268" max="11268" width="0.140625" style="292" customWidth="1"/>
    <col min="11269" max="11269" width="3.7109375" style="292" customWidth="1"/>
    <col min="11270" max="11270" width="7.7109375" style="292" customWidth="1"/>
    <col min="11271" max="11271" width="2.7109375" style="292" customWidth="1"/>
    <col min="11272" max="11272" width="7.140625" style="292" customWidth="1"/>
    <col min="11273" max="11273" width="0.85546875" style="292" customWidth="1"/>
    <col min="11274" max="11274" width="9.28515625" style="292" customWidth="1"/>
    <col min="11275" max="11275" width="3" style="292" customWidth="1"/>
    <col min="11276" max="11276" width="7.140625" style="292" customWidth="1"/>
    <col min="11277" max="11277" width="3.42578125" style="292" customWidth="1"/>
    <col min="11278" max="11278" width="6.5703125" style="292" customWidth="1"/>
    <col min="11279" max="11279" width="2.7109375" style="292" customWidth="1"/>
    <col min="11280" max="11280" width="8.7109375" style="292" customWidth="1"/>
    <col min="11281" max="11520" width="9.140625" style="292"/>
    <col min="11521" max="11521" width="4.140625" style="292" customWidth="1"/>
    <col min="11522" max="11522" width="6.7109375" style="292" customWidth="1"/>
    <col min="11523" max="11523" width="14.7109375" style="292" customWidth="1"/>
    <col min="11524" max="11524" width="0.140625" style="292" customWidth="1"/>
    <col min="11525" max="11525" width="3.7109375" style="292" customWidth="1"/>
    <col min="11526" max="11526" width="7.7109375" style="292" customWidth="1"/>
    <col min="11527" max="11527" width="2.7109375" style="292" customWidth="1"/>
    <col min="11528" max="11528" width="7.140625" style="292" customWidth="1"/>
    <col min="11529" max="11529" width="0.85546875" style="292" customWidth="1"/>
    <col min="11530" max="11530" width="9.28515625" style="292" customWidth="1"/>
    <col min="11531" max="11531" width="3" style="292" customWidth="1"/>
    <col min="11532" max="11532" width="7.140625" style="292" customWidth="1"/>
    <col min="11533" max="11533" width="3.42578125" style="292" customWidth="1"/>
    <col min="11534" max="11534" width="6.5703125" style="292" customWidth="1"/>
    <col min="11535" max="11535" width="2.7109375" style="292" customWidth="1"/>
    <col min="11536" max="11536" width="8.7109375" style="292" customWidth="1"/>
    <col min="11537" max="11776" width="9.140625" style="292"/>
    <col min="11777" max="11777" width="4.140625" style="292" customWidth="1"/>
    <col min="11778" max="11778" width="6.7109375" style="292" customWidth="1"/>
    <col min="11779" max="11779" width="14.7109375" style="292" customWidth="1"/>
    <col min="11780" max="11780" width="0.140625" style="292" customWidth="1"/>
    <col min="11781" max="11781" width="3.7109375" style="292" customWidth="1"/>
    <col min="11782" max="11782" width="7.7109375" style="292" customWidth="1"/>
    <col min="11783" max="11783" width="2.7109375" style="292" customWidth="1"/>
    <col min="11784" max="11784" width="7.140625" style="292" customWidth="1"/>
    <col min="11785" max="11785" width="0.85546875" style="292" customWidth="1"/>
    <col min="11786" max="11786" width="9.28515625" style="292" customWidth="1"/>
    <col min="11787" max="11787" width="3" style="292" customWidth="1"/>
    <col min="11788" max="11788" width="7.140625" style="292" customWidth="1"/>
    <col min="11789" max="11789" width="3.42578125" style="292" customWidth="1"/>
    <col min="11790" max="11790" width="6.5703125" style="292" customWidth="1"/>
    <col min="11791" max="11791" width="2.7109375" style="292" customWidth="1"/>
    <col min="11792" max="11792" width="8.7109375" style="292" customWidth="1"/>
    <col min="11793" max="12032" width="9.140625" style="292"/>
    <col min="12033" max="12033" width="4.140625" style="292" customWidth="1"/>
    <col min="12034" max="12034" width="6.7109375" style="292" customWidth="1"/>
    <col min="12035" max="12035" width="14.7109375" style="292" customWidth="1"/>
    <col min="12036" max="12036" width="0.140625" style="292" customWidth="1"/>
    <col min="12037" max="12037" width="3.7109375" style="292" customWidth="1"/>
    <col min="12038" max="12038" width="7.7109375" style="292" customWidth="1"/>
    <col min="12039" max="12039" width="2.7109375" style="292" customWidth="1"/>
    <col min="12040" max="12040" width="7.140625" style="292" customWidth="1"/>
    <col min="12041" max="12041" width="0.85546875" style="292" customWidth="1"/>
    <col min="12042" max="12042" width="9.28515625" style="292" customWidth="1"/>
    <col min="12043" max="12043" width="3" style="292" customWidth="1"/>
    <col min="12044" max="12044" width="7.140625" style="292" customWidth="1"/>
    <col min="12045" max="12045" width="3.42578125" style="292" customWidth="1"/>
    <col min="12046" max="12046" width="6.5703125" style="292" customWidth="1"/>
    <col min="12047" max="12047" width="2.7109375" style="292" customWidth="1"/>
    <col min="12048" max="12048" width="8.7109375" style="292" customWidth="1"/>
    <col min="12049" max="12288" width="9.140625" style="292"/>
    <col min="12289" max="12289" width="4.140625" style="292" customWidth="1"/>
    <col min="12290" max="12290" width="6.7109375" style="292" customWidth="1"/>
    <col min="12291" max="12291" width="14.7109375" style="292" customWidth="1"/>
    <col min="12292" max="12292" width="0.140625" style="292" customWidth="1"/>
    <col min="12293" max="12293" width="3.7109375" style="292" customWidth="1"/>
    <col min="12294" max="12294" width="7.7109375" style="292" customWidth="1"/>
    <col min="12295" max="12295" width="2.7109375" style="292" customWidth="1"/>
    <col min="12296" max="12296" width="7.140625" style="292" customWidth="1"/>
    <col min="12297" max="12297" width="0.85546875" style="292" customWidth="1"/>
    <col min="12298" max="12298" width="9.28515625" style="292" customWidth="1"/>
    <col min="12299" max="12299" width="3" style="292" customWidth="1"/>
    <col min="12300" max="12300" width="7.140625" style="292" customWidth="1"/>
    <col min="12301" max="12301" width="3.42578125" style="292" customWidth="1"/>
    <col min="12302" max="12302" width="6.5703125" style="292" customWidth="1"/>
    <col min="12303" max="12303" width="2.7109375" style="292" customWidth="1"/>
    <col min="12304" max="12304" width="8.7109375" style="292" customWidth="1"/>
    <col min="12305" max="12544" width="9.140625" style="292"/>
    <col min="12545" max="12545" width="4.140625" style="292" customWidth="1"/>
    <col min="12546" max="12546" width="6.7109375" style="292" customWidth="1"/>
    <col min="12547" max="12547" width="14.7109375" style="292" customWidth="1"/>
    <col min="12548" max="12548" width="0.140625" style="292" customWidth="1"/>
    <col min="12549" max="12549" width="3.7109375" style="292" customWidth="1"/>
    <col min="12550" max="12550" width="7.7109375" style="292" customWidth="1"/>
    <col min="12551" max="12551" width="2.7109375" style="292" customWidth="1"/>
    <col min="12552" max="12552" width="7.140625" style="292" customWidth="1"/>
    <col min="12553" max="12553" width="0.85546875" style="292" customWidth="1"/>
    <col min="12554" max="12554" width="9.28515625" style="292" customWidth="1"/>
    <col min="12555" max="12555" width="3" style="292" customWidth="1"/>
    <col min="12556" max="12556" width="7.140625" style="292" customWidth="1"/>
    <col min="12557" max="12557" width="3.42578125" style="292" customWidth="1"/>
    <col min="12558" max="12558" width="6.5703125" style="292" customWidth="1"/>
    <col min="12559" max="12559" width="2.7109375" style="292" customWidth="1"/>
    <col min="12560" max="12560" width="8.7109375" style="292" customWidth="1"/>
    <col min="12561" max="12800" width="9.140625" style="292"/>
    <col min="12801" max="12801" width="4.140625" style="292" customWidth="1"/>
    <col min="12802" max="12802" width="6.7109375" style="292" customWidth="1"/>
    <col min="12803" max="12803" width="14.7109375" style="292" customWidth="1"/>
    <col min="12804" max="12804" width="0.140625" style="292" customWidth="1"/>
    <col min="12805" max="12805" width="3.7109375" style="292" customWidth="1"/>
    <col min="12806" max="12806" width="7.7109375" style="292" customWidth="1"/>
    <col min="12807" max="12807" width="2.7109375" style="292" customWidth="1"/>
    <col min="12808" max="12808" width="7.140625" style="292" customWidth="1"/>
    <col min="12809" max="12809" width="0.85546875" style="292" customWidth="1"/>
    <col min="12810" max="12810" width="9.28515625" style="292" customWidth="1"/>
    <col min="12811" max="12811" width="3" style="292" customWidth="1"/>
    <col min="12812" max="12812" width="7.140625" style="292" customWidth="1"/>
    <col min="12813" max="12813" width="3.42578125" style="292" customWidth="1"/>
    <col min="12814" max="12814" width="6.5703125" style="292" customWidth="1"/>
    <col min="12815" max="12815" width="2.7109375" style="292" customWidth="1"/>
    <col min="12816" max="12816" width="8.7109375" style="292" customWidth="1"/>
    <col min="12817" max="13056" width="9.140625" style="292"/>
    <col min="13057" max="13057" width="4.140625" style="292" customWidth="1"/>
    <col min="13058" max="13058" width="6.7109375" style="292" customWidth="1"/>
    <col min="13059" max="13059" width="14.7109375" style="292" customWidth="1"/>
    <col min="13060" max="13060" width="0.140625" style="292" customWidth="1"/>
    <col min="13061" max="13061" width="3.7109375" style="292" customWidth="1"/>
    <col min="13062" max="13062" width="7.7109375" style="292" customWidth="1"/>
    <col min="13063" max="13063" width="2.7109375" style="292" customWidth="1"/>
    <col min="13064" max="13064" width="7.140625" style="292" customWidth="1"/>
    <col min="13065" max="13065" width="0.85546875" style="292" customWidth="1"/>
    <col min="13066" max="13066" width="9.28515625" style="292" customWidth="1"/>
    <col min="13067" max="13067" width="3" style="292" customWidth="1"/>
    <col min="13068" max="13068" width="7.140625" style="292" customWidth="1"/>
    <col min="13069" max="13069" width="3.42578125" style="292" customWidth="1"/>
    <col min="13070" max="13070" width="6.5703125" style="292" customWidth="1"/>
    <col min="13071" max="13071" width="2.7109375" style="292" customWidth="1"/>
    <col min="13072" max="13072" width="8.7109375" style="292" customWidth="1"/>
    <col min="13073" max="13312" width="9.140625" style="292"/>
    <col min="13313" max="13313" width="4.140625" style="292" customWidth="1"/>
    <col min="13314" max="13314" width="6.7109375" style="292" customWidth="1"/>
    <col min="13315" max="13315" width="14.7109375" style="292" customWidth="1"/>
    <col min="13316" max="13316" width="0.140625" style="292" customWidth="1"/>
    <col min="13317" max="13317" width="3.7109375" style="292" customWidth="1"/>
    <col min="13318" max="13318" width="7.7109375" style="292" customWidth="1"/>
    <col min="13319" max="13319" width="2.7109375" style="292" customWidth="1"/>
    <col min="13320" max="13320" width="7.140625" style="292" customWidth="1"/>
    <col min="13321" max="13321" width="0.85546875" style="292" customWidth="1"/>
    <col min="13322" max="13322" width="9.28515625" style="292" customWidth="1"/>
    <col min="13323" max="13323" width="3" style="292" customWidth="1"/>
    <col min="13324" max="13324" width="7.140625" style="292" customWidth="1"/>
    <col min="13325" max="13325" width="3.42578125" style="292" customWidth="1"/>
    <col min="13326" max="13326" width="6.5703125" style="292" customWidth="1"/>
    <col min="13327" max="13327" width="2.7109375" style="292" customWidth="1"/>
    <col min="13328" max="13328" width="8.7109375" style="292" customWidth="1"/>
    <col min="13329" max="13568" width="9.140625" style="292"/>
    <col min="13569" max="13569" width="4.140625" style="292" customWidth="1"/>
    <col min="13570" max="13570" width="6.7109375" style="292" customWidth="1"/>
    <col min="13571" max="13571" width="14.7109375" style="292" customWidth="1"/>
    <col min="13572" max="13572" width="0.140625" style="292" customWidth="1"/>
    <col min="13573" max="13573" width="3.7109375" style="292" customWidth="1"/>
    <col min="13574" max="13574" width="7.7109375" style="292" customWidth="1"/>
    <col min="13575" max="13575" width="2.7109375" style="292" customWidth="1"/>
    <col min="13576" max="13576" width="7.140625" style="292" customWidth="1"/>
    <col min="13577" max="13577" width="0.85546875" style="292" customWidth="1"/>
    <col min="13578" max="13578" width="9.28515625" style="292" customWidth="1"/>
    <col min="13579" max="13579" width="3" style="292" customWidth="1"/>
    <col min="13580" max="13580" width="7.140625" style="292" customWidth="1"/>
    <col min="13581" max="13581" width="3.42578125" style="292" customWidth="1"/>
    <col min="13582" max="13582" width="6.5703125" style="292" customWidth="1"/>
    <col min="13583" max="13583" width="2.7109375" style="292" customWidth="1"/>
    <col min="13584" max="13584" width="8.7109375" style="292" customWidth="1"/>
    <col min="13585" max="13824" width="9.140625" style="292"/>
    <col min="13825" max="13825" width="4.140625" style="292" customWidth="1"/>
    <col min="13826" max="13826" width="6.7109375" style="292" customWidth="1"/>
    <col min="13827" max="13827" width="14.7109375" style="292" customWidth="1"/>
    <col min="13828" max="13828" width="0.140625" style="292" customWidth="1"/>
    <col min="13829" max="13829" width="3.7109375" style="292" customWidth="1"/>
    <col min="13830" max="13830" width="7.7109375" style="292" customWidth="1"/>
    <col min="13831" max="13831" width="2.7109375" style="292" customWidth="1"/>
    <col min="13832" max="13832" width="7.140625" style="292" customWidth="1"/>
    <col min="13833" max="13833" width="0.85546875" style="292" customWidth="1"/>
    <col min="13834" max="13834" width="9.28515625" style="292" customWidth="1"/>
    <col min="13835" max="13835" width="3" style="292" customWidth="1"/>
    <col min="13836" max="13836" width="7.140625" style="292" customWidth="1"/>
    <col min="13837" max="13837" width="3.42578125" style="292" customWidth="1"/>
    <col min="13838" max="13838" width="6.5703125" style="292" customWidth="1"/>
    <col min="13839" max="13839" width="2.7109375" style="292" customWidth="1"/>
    <col min="13840" max="13840" width="8.7109375" style="292" customWidth="1"/>
    <col min="13841" max="14080" width="9.140625" style="292"/>
    <col min="14081" max="14081" width="4.140625" style="292" customWidth="1"/>
    <col min="14082" max="14082" width="6.7109375" style="292" customWidth="1"/>
    <col min="14083" max="14083" width="14.7109375" style="292" customWidth="1"/>
    <col min="14084" max="14084" width="0.140625" style="292" customWidth="1"/>
    <col min="14085" max="14085" width="3.7109375" style="292" customWidth="1"/>
    <col min="14086" max="14086" width="7.7109375" style="292" customWidth="1"/>
    <col min="14087" max="14087" width="2.7109375" style="292" customWidth="1"/>
    <col min="14088" max="14088" width="7.140625" style="292" customWidth="1"/>
    <col min="14089" max="14089" width="0.85546875" style="292" customWidth="1"/>
    <col min="14090" max="14090" width="9.28515625" style="292" customWidth="1"/>
    <col min="14091" max="14091" width="3" style="292" customWidth="1"/>
    <col min="14092" max="14092" width="7.140625" style="292" customWidth="1"/>
    <col min="14093" max="14093" width="3.42578125" style="292" customWidth="1"/>
    <col min="14094" max="14094" width="6.5703125" style="292" customWidth="1"/>
    <col min="14095" max="14095" width="2.7109375" style="292" customWidth="1"/>
    <col min="14096" max="14096" width="8.7109375" style="292" customWidth="1"/>
    <col min="14097" max="14336" width="9.140625" style="292"/>
    <col min="14337" max="14337" width="4.140625" style="292" customWidth="1"/>
    <col min="14338" max="14338" width="6.7109375" style="292" customWidth="1"/>
    <col min="14339" max="14339" width="14.7109375" style="292" customWidth="1"/>
    <col min="14340" max="14340" width="0.140625" style="292" customWidth="1"/>
    <col min="14341" max="14341" width="3.7109375" style="292" customWidth="1"/>
    <col min="14342" max="14342" width="7.7109375" style="292" customWidth="1"/>
    <col min="14343" max="14343" width="2.7109375" style="292" customWidth="1"/>
    <col min="14344" max="14344" width="7.140625" style="292" customWidth="1"/>
    <col min="14345" max="14345" width="0.85546875" style="292" customWidth="1"/>
    <col min="14346" max="14346" width="9.28515625" style="292" customWidth="1"/>
    <col min="14347" max="14347" width="3" style="292" customWidth="1"/>
    <col min="14348" max="14348" width="7.140625" style="292" customWidth="1"/>
    <col min="14349" max="14349" width="3.42578125" style="292" customWidth="1"/>
    <col min="14350" max="14350" width="6.5703125" style="292" customWidth="1"/>
    <col min="14351" max="14351" width="2.7109375" style="292" customWidth="1"/>
    <col min="14352" max="14352" width="8.7109375" style="292" customWidth="1"/>
    <col min="14353" max="14592" width="9.140625" style="292"/>
    <col min="14593" max="14593" width="4.140625" style="292" customWidth="1"/>
    <col min="14594" max="14594" width="6.7109375" style="292" customWidth="1"/>
    <col min="14595" max="14595" width="14.7109375" style="292" customWidth="1"/>
    <col min="14596" max="14596" width="0.140625" style="292" customWidth="1"/>
    <col min="14597" max="14597" width="3.7109375" style="292" customWidth="1"/>
    <col min="14598" max="14598" width="7.7109375" style="292" customWidth="1"/>
    <col min="14599" max="14599" width="2.7109375" style="292" customWidth="1"/>
    <col min="14600" max="14600" width="7.140625" style="292" customWidth="1"/>
    <col min="14601" max="14601" width="0.85546875" style="292" customWidth="1"/>
    <col min="14602" max="14602" width="9.28515625" style="292" customWidth="1"/>
    <col min="14603" max="14603" width="3" style="292" customWidth="1"/>
    <col min="14604" max="14604" width="7.140625" style="292" customWidth="1"/>
    <col min="14605" max="14605" width="3.42578125" style="292" customWidth="1"/>
    <col min="14606" max="14606" width="6.5703125" style="292" customWidth="1"/>
    <col min="14607" max="14607" width="2.7109375" style="292" customWidth="1"/>
    <col min="14608" max="14608" width="8.7109375" style="292" customWidth="1"/>
    <col min="14609" max="14848" width="9.140625" style="292"/>
    <col min="14849" max="14849" width="4.140625" style="292" customWidth="1"/>
    <col min="14850" max="14850" width="6.7109375" style="292" customWidth="1"/>
    <col min="14851" max="14851" width="14.7109375" style="292" customWidth="1"/>
    <col min="14852" max="14852" width="0.140625" style="292" customWidth="1"/>
    <col min="14853" max="14853" width="3.7109375" style="292" customWidth="1"/>
    <col min="14854" max="14854" width="7.7109375" style="292" customWidth="1"/>
    <col min="14855" max="14855" width="2.7109375" style="292" customWidth="1"/>
    <col min="14856" max="14856" width="7.140625" style="292" customWidth="1"/>
    <col min="14857" max="14857" width="0.85546875" style="292" customWidth="1"/>
    <col min="14858" max="14858" width="9.28515625" style="292" customWidth="1"/>
    <col min="14859" max="14859" width="3" style="292" customWidth="1"/>
    <col min="14860" max="14860" width="7.140625" style="292" customWidth="1"/>
    <col min="14861" max="14861" width="3.42578125" style="292" customWidth="1"/>
    <col min="14862" max="14862" width="6.5703125" style="292" customWidth="1"/>
    <col min="14863" max="14863" width="2.7109375" style="292" customWidth="1"/>
    <col min="14864" max="14864" width="8.7109375" style="292" customWidth="1"/>
    <col min="14865" max="15104" width="9.140625" style="292"/>
    <col min="15105" max="15105" width="4.140625" style="292" customWidth="1"/>
    <col min="15106" max="15106" width="6.7109375" style="292" customWidth="1"/>
    <col min="15107" max="15107" width="14.7109375" style="292" customWidth="1"/>
    <col min="15108" max="15108" width="0.140625" style="292" customWidth="1"/>
    <col min="15109" max="15109" width="3.7109375" style="292" customWidth="1"/>
    <col min="15110" max="15110" width="7.7109375" style="292" customWidth="1"/>
    <col min="15111" max="15111" width="2.7109375" style="292" customWidth="1"/>
    <col min="15112" max="15112" width="7.140625" style="292" customWidth="1"/>
    <col min="15113" max="15113" width="0.85546875" style="292" customWidth="1"/>
    <col min="15114" max="15114" width="9.28515625" style="292" customWidth="1"/>
    <col min="15115" max="15115" width="3" style="292" customWidth="1"/>
    <col min="15116" max="15116" width="7.140625" style="292" customWidth="1"/>
    <col min="15117" max="15117" width="3.42578125" style="292" customWidth="1"/>
    <col min="15118" max="15118" width="6.5703125" style="292" customWidth="1"/>
    <col min="15119" max="15119" width="2.7109375" style="292" customWidth="1"/>
    <col min="15120" max="15120" width="8.7109375" style="292" customWidth="1"/>
    <col min="15121" max="15360" width="9.140625" style="292"/>
    <col min="15361" max="15361" width="4.140625" style="292" customWidth="1"/>
    <col min="15362" max="15362" width="6.7109375" style="292" customWidth="1"/>
    <col min="15363" max="15363" width="14.7109375" style="292" customWidth="1"/>
    <col min="15364" max="15364" width="0.140625" style="292" customWidth="1"/>
    <col min="15365" max="15365" width="3.7109375" style="292" customWidth="1"/>
    <col min="15366" max="15366" width="7.7109375" style="292" customWidth="1"/>
    <col min="15367" max="15367" width="2.7109375" style="292" customWidth="1"/>
    <col min="15368" max="15368" width="7.140625" style="292" customWidth="1"/>
    <col min="15369" max="15369" width="0.85546875" style="292" customWidth="1"/>
    <col min="15370" max="15370" width="9.28515625" style="292" customWidth="1"/>
    <col min="15371" max="15371" width="3" style="292" customWidth="1"/>
    <col min="15372" max="15372" width="7.140625" style="292" customWidth="1"/>
    <col min="15373" max="15373" width="3.42578125" style="292" customWidth="1"/>
    <col min="15374" max="15374" width="6.5703125" style="292" customWidth="1"/>
    <col min="15375" max="15375" width="2.7109375" style="292" customWidth="1"/>
    <col min="15376" max="15376" width="8.7109375" style="292" customWidth="1"/>
    <col min="15377" max="15616" width="9.140625" style="292"/>
    <col min="15617" max="15617" width="4.140625" style="292" customWidth="1"/>
    <col min="15618" max="15618" width="6.7109375" style="292" customWidth="1"/>
    <col min="15619" max="15619" width="14.7109375" style="292" customWidth="1"/>
    <col min="15620" max="15620" width="0.140625" style="292" customWidth="1"/>
    <col min="15621" max="15621" width="3.7109375" style="292" customWidth="1"/>
    <col min="15622" max="15622" width="7.7109375" style="292" customWidth="1"/>
    <col min="15623" max="15623" width="2.7109375" style="292" customWidth="1"/>
    <col min="15624" max="15624" width="7.140625" style="292" customWidth="1"/>
    <col min="15625" max="15625" width="0.85546875" style="292" customWidth="1"/>
    <col min="15626" max="15626" width="9.28515625" style="292" customWidth="1"/>
    <col min="15627" max="15627" width="3" style="292" customWidth="1"/>
    <col min="15628" max="15628" width="7.140625" style="292" customWidth="1"/>
    <col min="15629" max="15629" width="3.42578125" style="292" customWidth="1"/>
    <col min="15630" max="15630" width="6.5703125" style="292" customWidth="1"/>
    <col min="15631" max="15631" width="2.7109375" style="292" customWidth="1"/>
    <col min="15632" max="15632" width="8.7109375" style="292" customWidth="1"/>
    <col min="15633" max="15872" width="9.140625" style="292"/>
    <col min="15873" max="15873" width="4.140625" style="292" customWidth="1"/>
    <col min="15874" max="15874" width="6.7109375" style="292" customWidth="1"/>
    <col min="15875" max="15875" width="14.7109375" style="292" customWidth="1"/>
    <col min="15876" max="15876" width="0.140625" style="292" customWidth="1"/>
    <col min="15877" max="15877" width="3.7109375" style="292" customWidth="1"/>
    <col min="15878" max="15878" width="7.7109375" style="292" customWidth="1"/>
    <col min="15879" max="15879" width="2.7109375" style="292" customWidth="1"/>
    <col min="15880" max="15880" width="7.140625" style="292" customWidth="1"/>
    <col min="15881" max="15881" width="0.85546875" style="292" customWidth="1"/>
    <col min="15882" max="15882" width="9.28515625" style="292" customWidth="1"/>
    <col min="15883" max="15883" width="3" style="292" customWidth="1"/>
    <col min="15884" max="15884" width="7.140625" style="292" customWidth="1"/>
    <col min="15885" max="15885" width="3.42578125" style="292" customWidth="1"/>
    <col min="15886" max="15886" width="6.5703125" style="292" customWidth="1"/>
    <col min="15887" max="15887" width="2.7109375" style="292" customWidth="1"/>
    <col min="15888" max="15888" width="8.7109375" style="292" customWidth="1"/>
    <col min="15889" max="16128" width="9.140625" style="292"/>
    <col min="16129" max="16129" width="4.140625" style="292" customWidth="1"/>
    <col min="16130" max="16130" width="6.7109375" style="292" customWidth="1"/>
    <col min="16131" max="16131" width="14.7109375" style="292" customWidth="1"/>
    <col min="16132" max="16132" width="0.140625" style="292" customWidth="1"/>
    <col min="16133" max="16133" width="3.7109375" style="292" customWidth="1"/>
    <col min="16134" max="16134" width="7.7109375" style="292" customWidth="1"/>
    <col min="16135" max="16135" width="2.7109375" style="292" customWidth="1"/>
    <col min="16136" max="16136" width="7.140625" style="292" customWidth="1"/>
    <col min="16137" max="16137" width="0.85546875" style="292" customWidth="1"/>
    <col min="16138" max="16138" width="9.28515625" style="292" customWidth="1"/>
    <col min="16139" max="16139" width="3" style="292" customWidth="1"/>
    <col min="16140" max="16140" width="7.140625" style="292" customWidth="1"/>
    <col min="16141" max="16141" width="3.42578125" style="292" customWidth="1"/>
    <col min="16142" max="16142" width="6.5703125" style="292" customWidth="1"/>
    <col min="16143" max="16143" width="2.7109375" style="292" customWidth="1"/>
    <col min="16144" max="16144" width="8.7109375" style="292" customWidth="1"/>
    <col min="16145" max="16384" width="9.140625" style="292"/>
  </cols>
  <sheetData>
    <row r="1" spans="1:22" x14ac:dyDescent="0.2">
      <c r="A1" s="298"/>
      <c r="B1" s="298"/>
      <c r="C1" s="298"/>
      <c r="D1" s="304"/>
      <c r="E1" s="658" t="s">
        <v>588</v>
      </c>
      <c r="F1" s="658"/>
      <c r="G1" s="658"/>
      <c r="H1" s="658"/>
      <c r="I1" s="658"/>
      <c r="J1" s="658"/>
      <c r="K1" s="658"/>
      <c r="L1" s="658"/>
      <c r="M1" s="657" t="s">
        <v>589</v>
      </c>
      <c r="N1" s="657"/>
      <c r="O1" s="657"/>
      <c r="P1" s="657"/>
    </row>
    <row r="2" spans="1:22" ht="15" customHeight="1" x14ac:dyDescent="0.25">
      <c r="A2" s="298"/>
      <c r="B2" s="298"/>
      <c r="C2" s="298"/>
      <c r="D2" s="361"/>
      <c r="E2" s="361"/>
      <c r="F2" s="579"/>
      <c r="G2" s="362"/>
      <c r="H2" s="579"/>
      <c r="I2" s="361"/>
      <c r="J2" s="361"/>
      <c r="K2" s="361"/>
      <c r="L2" s="361"/>
      <c r="M2" s="654" t="s">
        <v>554</v>
      </c>
      <c r="N2" s="654"/>
      <c r="O2" s="654"/>
      <c r="P2" s="654"/>
      <c r="Q2" s="638" t="s">
        <v>781</v>
      </c>
      <c r="R2" s="638"/>
    </row>
    <row r="3" spans="1:22" ht="15" customHeight="1" x14ac:dyDescent="0.2">
      <c r="A3" s="298"/>
      <c r="B3" s="298"/>
      <c r="C3" s="298"/>
      <c r="D3" s="361"/>
      <c r="E3" s="657" t="s">
        <v>423</v>
      </c>
      <c r="F3" s="657"/>
      <c r="G3" s="657"/>
      <c r="H3" s="657"/>
      <c r="I3" s="657"/>
      <c r="J3" s="657"/>
      <c r="K3" s="361"/>
      <c r="L3" s="361"/>
      <c r="M3" s="654" t="s">
        <v>652</v>
      </c>
      <c r="N3" s="654"/>
      <c r="O3" s="654"/>
      <c r="P3" s="654"/>
    </row>
    <row r="4" spans="1:22" ht="15.75" customHeight="1" thickBot="1" x14ac:dyDescent="0.25">
      <c r="A4" s="655" t="s">
        <v>18</v>
      </c>
      <c r="B4" s="655"/>
      <c r="C4" s="655"/>
      <c r="D4" s="363"/>
      <c r="E4" s="659" t="s">
        <v>649</v>
      </c>
      <c r="F4" s="660"/>
      <c r="G4" s="660"/>
      <c r="H4" s="660"/>
      <c r="I4" s="660"/>
      <c r="J4" s="660"/>
      <c r="K4" s="363"/>
      <c r="L4" s="363"/>
      <c r="M4" s="364" t="s">
        <v>651</v>
      </c>
      <c r="N4" s="656" t="s">
        <v>650</v>
      </c>
      <c r="O4" s="656"/>
      <c r="P4" s="656"/>
    </row>
    <row r="5" spans="1:22" x14ac:dyDescent="0.2">
      <c r="A5" s="365" t="s">
        <v>590</v>
      </c>
      <c r="B5" s="293"/>
      <c r="C5" s="294"/>
      <c r="D5" s="294"/>
      <c r="E5" s="366"/>
      <c r="F5" s="293" t="s">
        <v>12</v>
      </c>
      <c r="G5" s="367"/>
      <c r="H5" s="368"/>
      <c r="I5" s="293"/>
      <c r="J5" s="368"/>
      <c r="K5" s="293"/>
      <c r="L5" s="368"/>
      <c r="M5" s="298"/>
      <c r="N5" s="291"/>
      <c r="O5" s="369"/>
      <c r="P5" s="370"/>
    </row>
    <row r="6" spans="1:22" x14ac:dyDescent="0.2">
      <c r="A6" s="371" t="s">
        <v>6</v>
      </c>
      <c r="B6" s="372" t="s">
        <v>591</v>
      </c>
      <c r="C6" s="373"/>
      <c r="D6" s="373"/>
      <c r="E6" s="31" t="s">
        <v>394</v>
      </c>
      <c r="F6" s="372" t="s">
        <v>390</v>
      </c>
      <c r="G6" s="372" t="s">
        <v>384</v>
      </c>
      <c r="H6" s="374"/>
      <c r="I6" s="372" t="s">
        <v>387</v>
      </c>
      <c r="J6" s="374"/>
      <c r="K6" s="372" t="s">
        <v>592</v>
      </c>
      <c r="L6" s="374"/>
      <c r="M6" s="373" t="s">
        <v>558</v>
      </c>
      <c r="N6" s="375"/>
      <c r="O6" s="376" t="s">
        <v>14</v>
      </c>
      <c r="P6" s="377"/>
    </row>
    <row r="7" spans="1:22" x14ac:dyDescent="0.2">
      <c r="A7" s="256"/>
      <c r="B7" s="661" t="s">
        <v>611</v>
      </c>
      <c r="C7" s="662"/>
      <c r="D7" s="257"/>
      <c r="E7" s="258">
        <v>50</v>
      </c>
      <c r="F7" s="259">
        <v>34</v>
      </c>
      <c r="G7" s="286"/>
      <c r="H7" s="260"/>
      <c r="I7" s="259"/>
      <c r="J7" s="260"/>
      <c r="K7" s="259"/>
      <c r="L7" s="260">
        <f>F7*E7</f>
        <v>1700</v>
      </c>
      <c r="M7" s="259"/>
      <c r="N7" s="331"/>
      <c r="O7" s="259"/>
      <c r="P7" s="260"/>
    </row>
    <row r="8" spans="1:22" x14ac:dyDescent="0.2">
      <c r="A8" s="261"/>
      <c r="B8" s="653" t="s">
        <v>595</v>
      </c>
      <c r="C8" s="654"/>
      <c r="D8" s="262"/>
      <c r="E8" s="263">
        <v>28</v>
      </c>
      <c r="F8" s="282">
        <v>1400</v>
      </c>
      <c r="G8" s="280"/>
      <c r="H8" s="262"/>
      <c r="I8" s="282"/>
      <c r="J8" s="262">
        <f>F8*E8</f>
        <v>39200</v>
      </c>
      <c r="K8" s="282"/>
      <c r="L8" s="262"/>
      <c r="M8" s="282"/>
      <c r="N8" s="331"/>
      <c r="O8" s="282"/>
      <c r="P8" s="262"/>
    </row>
    <row r="9" spans="1:22" x14ac:dyDescent="0.2">
      <c r="A9" s="261"/>
      <c r="B9" s="653" t="s">
        <v>596</v>
      </c>
      <c r="C9" s="654"/>
      <c r="D9" s="262"/>
      <c r="E9" s="263">
        <v>7</v>
      </c>
      <c r="F9" s="282">
        <v>150</v>
      </c>
      <c r="G9" s="280"/>
      <c r="H9" s="262"/>
      <c r="I9" s="282"/>
      <c r="J9" s="262"/>
      <c r="K9" s="282"/>
      <c r="L9" s="262"/>
      <c r="M9" s="282"/>
      <c r="N9" s="331"/>
      <c r="O9" s="282"/>
      <c r="P9" s="262">
        <f>F9*E9</f>
        <v>1050</v>
      </c>
      <c r="Q9" s="361"/>
      <c r="R9" s="361"/>
      <c r="S9" s="361"/>
      <c r="T9" s="361"/>
      <c r="U9" s="361"/>
      <c r="V9" s="361"/>
    </row>
    <row r="10" spans="1:22" x14ac:dyDescent="0.2">
      <c r="A10" s="261"/>
      <c r="B10" s="653" t="s">
        <v>597</v>
      </c>
      <c r="C10" s="654"/>
      <c r="D10" s="262"/>
      <c r="E10" s="263">
        <v>28</v>
      </c>
      <c r="F10" s="282">
        <v>100</v>
      </c>
      <c r="G10" s="280"/>
      <c r="H10" s="264"/>
      <c r="I10" s="282"/>
      <c r="J10" s="262"/>
      <c r="K10" s="282"/>
      <c r="L10" s="262"/>
      <c r="M10" s="282"/>
      <c r="N10" s="331"/>
      <c r="O10" s="282"/>
      <c r="P10" s="262">
        <f>F10*E10</f>
        <v>2800</v>
      </c>
      <c r="Q10" s="361"/>
      <c r="R10" s="361"/>
      <c r="S10" s="361"/>
      <c r="T10" s="361"/>
      <c r="U10" s="361"/>
      <c r="V10" s="361"/>
    </row>
    <row r="11" spans="1:22" x14ac:dyDescent="0.2">
      <c r="A11" s="261"/>
      <c r="B11" s="653" t="s">
        <v>598</v>
      </c>
      <c r="C11" s="654"/>
      <c r="D11" s="262"/>
      <c r="E11" s="263">
        <v>7</v>
      </c>
      <c r="F11" s="282">
        <v>150</v>
      </c>
      <c r="G11" s="280"/>
      <c r="H11" s="262"/>
      <c r="I11" s="282"/>
      <c r="J11" s="262"/>
      <c r="K11" s="282"/>
      <c r="L11" s="262"/>
      <c r="M11" s="282"/>
      <c r="N11" s="331"/>
      <c r="O11" s="282"/>
      <c r="P11" s="262">
        <f>F11*E11</f>
        <v>1050</v>
      </c>
      <c r="Q11" s="361"/>
      <c r="R11" s="361"/>
      <c r="S11" s="361"/>
      <c r="T11" s="361"/>
      <c r="U11" s="361"/>
      <c r="V11" s="361"/>
    </row>
    <row r="12" spans="1:22" x14ac:dyDescent="0.2">
      <c r="A12" s="261"/>
      <c r="B12" s="653" t="s">
        <v>599</v>
      </c>
      <c r="C12" s="654"/>
      <c r="D12" s="262"/>
      <c r="E12" s="263"/>
      <c r="F12" s="282"/>
      <c r="G12" s="280"/>
      <c r="H12" s="262"/>
      <c r="I12" s="282"/>
      <c r="J12" s="262"/>
      <c r="K12" s="282"/>
      <c r="L12" s="262"/>
      <c r="M12" s="282"/>
      <c r="N12" s="331"/>
      <c r="O12" s="282"/>
      <c r="P12" s="262"/>
      <c r="Q12" s="378" t="s">
        <v>613</v>
      </c>
      <c r="R12" s="361"/>
      <c r="S12" s="361"/>
      <c r="T12" s="361"/>
      <c r="U12" s="361"/>
      <c r="V12" s="361"/>
    </row>
    <row r="13" spans="1:22" x14ac:dyDescent="0.2">
      <c r="A13" s="261"/>
      <c r="B13" s="653" t="s">
        <v>600</v>
      </c>
      <c r="C13" s="654"/>
      <c r="D13" s="262"/>
      <c r="E13" s="263">
        <v>7</v>
      </c>
      <c r="F13" s="282">
        <v>100</v>
      </c>
      <c r="G13" s="280"/>
      <c r="H13" s="262"/>
      <c r="I13" s="282"/>
      <c r="J13" s="262"/>
      <c r="K13" s="282"/>
      <c r="L13" s="262">
        <f>F13*E13</f>
        <v>700</v>
      </c>
      <c r="M13" s="282"/>
      <c r="N13" s="331"/>
      <c r="O13" s="282"/>
      <c r="P13" s="262"/>
      <c r="Q13" s="361"/>
      <c r="R13" s="361"/>
      <c r="S13" s="361"/>
      <c r="T13" s="361"/>
      <c r="U13" s="361"/>
      <c r="V13" s="361"/>
    </row>
    <row r="14" spans="1:22" x14ac:dyDescent="0.2">
      <c r="A14" s="261"/>
      <c r="B14" s="653" t="s">
        <v>614</v>
      </c>
      <c r="C14" s="654"/>
      <c r="D14" s="262"/>
      <c r="E14" s="263">
        <v>7</v>
      </c>
      <c r="F14" s="282">
        <v>300</v>
      </c>
      <c r="G14" s="280"/>
      <c r="H14" s="262"/>
      <c r="I14" s="282"/>
      <c r="J14" s="262"/>
      <c r="K14" s="282"/>
      <c r="L14" s="262">
        <f>F14*E14</f>
        <v>2100</v>
      </c>
      <c r="M14" s="282"/>
      <c r="N14" s="331"/>
      <c r="O14" s="282"/>
      <c r="P14" s="262"/>
      <c r="Q14" s="361"/>
      <c r="R14" s="361"/>
      <c r="S14" s="361"/>
      <c r="T14" s="361"/>
      <c r="U14" s="361"/>
      <c r="V14" s="361"/>
    </row>
    <row r="15" spans="1:22" x14ac:dyDescent="0.2">
      <c r="A15" s="261"/>
      <c r="B15" s="653" t="s">
        <v>601</v>
      </c>
      <c r="C15" s="654"/>
      <c r="D15" s="262"/>
      <c r="E15" s="263">
        <v>1</v>
      </c>
      <c r="F15" s="282">
        <v>1000</v>
      </c>
      <c r="G15" s="280"/>
      <c r="H15" s="262"/>
      <c r="I15" s="282"/>
      <c r="J15" s="262"/>
      <c r="K15" s="282"/>
      <c r="L15" s="262"/>
      <c r="M15" s="282"/>
      <c r="N15" s="331"/>
      <c r="O15" s="282"/>
      <c r="P15" s="262">
        <f>F15*E15</f>
        <v>1000</v>
      </c>
      <c r="Q15" s="361"/>
      <c r="R15" s="361"/>
      <c r="S15" s="361"/>
      <c r="T15" s="361"/>
      <c r="U15" s="361"/>
      <c r="V15" s="361"/>
    </row>
    <row r="16" spans="1:22" x14ac:dyDescent="0.2">
      <c r="A16" s="261"/>
      <c r="B16" s="653" t="s">
        <v>602</v>
      </c>
      <c r="C16" s="654"/>
      <c r="D16" s="262"/>
      <c r="E16" s="263">
        <v>7</v>
      </c>
      <c r="F16" s="282">
        <v>100</v>
      </c>
      <c r="G16" s="280"/>
      <c r="H16" s="262"/>
      <c r="I16" s="282"/>
      <c r="J16" s="262"/>
      <c r="K16" s="282"/>
      <c r="L16" s="262"/>
      <c r="M16" s="282"/>
      <c r="N16" s="331"/>
      <c r="O16" s="282"/>
      <c r="P16" s="262">
        <f>F16*E16</f>
        <v>700</v>
      </c>
      <c r="Q16" s="361"/>
      <c r="R16" s="361"/>
      <c r="S16" s="361"/>
      <c r="T16" s="361"/>
      <c r="U16" s="361"/>
      <c r="V16" s="361"/>
    </row>
    <row r="17" spans="1:22" x14ac:dyDescent="0.2">
      <c r="A17" s="261"/>
      <c r="B17" s="653" t="s">
        <v>791</v>
      </c>
      <c r="C17" s="654"/>
      <c r="D17" s="262"/>
      <c r="E17" s="263">
        <v>7</v>
      </c>
      <c r="F17" s="282">
        <v>100</v>
      </c>
      <c r="G17" s="280"/>
      <c r="H17" s="262"/>
      <c r="I17" s="282"/>
      <c r="J17" s="262"/>
      <c r="K17" s="282"/>
      <c r="L17" s="262">
        <f>F17*E17</f>
        <v>700</v>
      </c>
      <c r="M17" s="282"/>
      <c r="N17" s="331"/>
      <c r="O17" s="282"/>
      <c r="P17" s="262"/>
      <c r="Q17" s="361"/>
      <c r="R17" s="361"/>
      <c r="S17" s="361"/>
      <c r="T17" s="361"/>
      <c r="U17" s="361"/>
      <c r="V17" s="361"/>
    </row>
    <row r="18" spans="1:22" x14ac:dyDescent="0.2">
      <c r="A18" s="261"/>
      <c r="B18" s="653" t="s">
        <v>603</v>
      </c>
      <c r="C18" s="654"/>
      <c r="D18" s="262"/>
      <c r="E18" s="263">
        <v>1</v>
      </c>
      <c r="F18" s="282">
        <v>5000</v>
      </c>
      <c r="G18" s="280"/>
      <c r="H18" s="262"/>
      <c r="I18" s="282"/>
      <c r="J18" s="262">
        <f>F18</f>
        <v>5000</v>
      </c>
      <c r="K18" s="282"/>
      <c r="L18" s="262"/>
      <c r="M18" s="282"/>
      <c r="N18" s="331"/>
      <c r="O18" s="282"/>
      <c r="P18" s="262"/>
      <c r="Q18" s="361"/>
      <c r="R18" s="361"/>
      <c r="S18" s="361"/>
      <c r="T18" s="361"/>
      <c r="U18" s="361"/>
      <c r="V18" s="361"/>
    </row>
    <row r="19" spans="1:22" x14ac:dyDescent="0.2">
      <c r="A19" s="261"/>
      <c r="B19" s="653" t="s">
        <v>604</v>
      </c>
      <c r="C19" s="654"/>
      <c r="D19" s="262"/>
      <c r="E19" s="263">
        <v>6</v>
      </c>
      <c r="F19" s="282">
        <v>300</v>
      </c>
      <c r="G19" s="280"/>
      <c r="H19" s="262"/>
      <c r="I19" s="282"/>
      <c r="J19" s="262"/>
      <c r="K19" s="282"/>
      <c r="L19" s="262"/>
      <c r="M19" s="282"/>
      <c r="N19" s="331"/>
      <c r="O19" s="282"/>
      <c r="P19" s="262">
        <f>F19*E19</f>
        <v>1800</v>
      </c>
      <c r="Q19" s="361"/>
      <c r="R19" s="361"/>
      <c r="S19" s="361"/>
      <c r="T19" s="361"/>
      <c r="U19" s="361"/>
      <c r="V19" s="361"/>
    </row>
    <row r="20" spans="1:22" x14ac:dyDescent="0.2">
      <c r="A20" s="261"/>
      <c r="B20" s="653" t="s">
        <v>605</v>
      </c>
      <c r="C20" s="654"/>
      <c r="D20" s="262"/>
      <c r="E20" s="263">
        <v>1</v>
      </c>
      <c r="F20" s="282">
        <v>500</v>
      </c>
      <c r="G20" s="280"/>
      <c r="H20" s="262"/>
      <c r="I20" s="282"/>
      <c r="J20" s="262"/>
      <c r="K20" s="282"/>
      <c r="L20" s="262"/>
      <c r="M20" s="282"/>
      <c r="N20" s="331"/>
      <c r="O20" s="282"/>
      <c r="P20" s="262">
        <f>F20*E20</f>
        <v>500</v>
      </c>
      <c r="Q20" s="361"/>
      <c r="R20" s="361"/>
      <c r="S20" s="361"/>
      <c r="T20" s="361"/>
      <c r="U20" s="361"/>
      <c r="V20" s="361"/>
    </row>
    <row r="21" spans="1:22" x14ac:dyDescent="0.2">
      <c r="A21" s="261"/>
      <c r="B21" s="653" t="s">
        <v>606</v>
      </c>
      <c r="C21" s="654"/>
      <c r="D21" s="262"/>
      <c r="E21" s="263">
        <v>2</v>
      </c>
      <c r="F21" s="282">
        <v>75</v>
      </c>
      <c r="G21" s="280"/>
      <c r="H21" s="264"/>
      <c r="I21" s="282"/>
      <c r="J21" s="262"/>
      <c r="K21" s="282"/>
      <c r="L21" s="262"/>
      <c r="M21" s="282"/>
      <c r="N21" s="331"/>
      <c r="O21" s="282"/>
      <c r="P21" s="262">
        <f>F21*E21</f>
        <v>150</v>
      </c>
      <c r="Q21" s="361"/>
      <c r="R21" s="361"/>
      <c r="S21" s="361"/>
      <c r="T21" s="361"/>
      <c r="U21" s="361"/>
      <c r="V21" s="361"/>
    </row>
    <row r="22" spans="1:22" x14ac:dyDescent="0.2">
      <c r="A22" s="261"/>
      <c r="B22" s="653" t="s">
        <v>607</v>
      </c>
      <c r="C22" s="654"/>
      <c r="D22" s="262"/>
      <c r="E22" s="263">
        <v>7</v>
      </c>
      <c r="F22" s="282">
        <v>100</v>
      </c>
      <c r="G22" s="280"/>
      <c r="H22" s="262"/>
      <c r="I22" s="282"/>
      <c r="J22" s="262"/>
      <c r="K22" s="282"/>
      <c r="L22" s="262"/>
      <c r="M22" s="282"/>
      <c r="N22" s="331"/>
      <c r="O22" s="282"/>
      <c r="P22" s="262">
        <f>F22*E22</f>
        <v>700</v>
      </c>
      <c r="Q22" s="361"/>
      <c r="R22" s="361"/>
      <c r="S22" s="361"/>
      <c r="T22" s="361"/>
      <c r="U22" s="361"/>
      <c r="V22" s="361"/>
    </row>
    <row r="23" spans="1:22" x14ac:dyDescent="0.2">
      <c r="A23" s="261"/>
      <c r="B23" s="653" t="s">
        <v>792</v>
      </c>
      <c r="C23" s="654"/>
      <c r="D23" s="262"/>
      <c r="E23" s="263">
        <v>4</v>
      </c>
      <c r="F23" s="282">
        <v>200</v>
      </c>
      <c r="G23" s="280"/>
      <c r="H23" s="262"/>
      <c r="I23" s="282"/>
      <c r="J23" s="262"/>
      <c r="K23" s="282"/>
      <c r="L23" s="262"/>
      <c r="M23" s="282"/>
      <c r="N23" s="331"/>
      <c r="O23" s="282"/>
      <c r="P23" s="262">
        <f>F23*E23</f>
        <v>800</v>
      </c>
      <c r="Q23" s="361"/>
      <c r="R23" s="361"/>
      <c r="S23" s="361"/>
      <c r="T23" s="361"/>
      <c r="U23" s="361"/>
      <c r="V23" s="361"/>
    </row>
    <row r="24" spans="1:22" x14ac:dyDescent="0.2">
      <c r="A24" s="261"/>
      <c r="B24" s="653" t="s">
        <v>618</v>
      </c>
      <c r="C24" s="654"/>
      <c r="D24" s="262"/>
      <c r="E24" s="263"/>
      <c r="F24" s="282"/>
      <c r="G24" s="280"/>
      <c r="H24" s="262"/>
      <c r="I24" s="282"/>
      <c r="J24" s="262"/>
      <c r="K24" s="282"/>
      <c r="L24" s="262"/>
      <c r="M24" s="282"/>
      <c r="N24" s="331"/>
      <c r="O24" s="282"/>
      <c r="P24" s="262">
        <v>15000</v>
      </c>
      <c r="Q24" s="361"/>
      <c r="R24" s="361"/>
      <c r="S24" s="361"/>
      <c r="T24" s="361"/>
      <c r="U24" s="361"/>
      <c r="V24" s="361"/>
    </row>
    <row r="25" spans="1:22" x14ac:dyDescent="0.2">
      <c r="A25" s="261"/>
      <c r="B25" s="653" t="s">
        <v>608</v>
      </c>
      <c r="C25" s="654"/>
      <c r="D25" s="262"/>
      <c r="E25" s="263">
        <v>1</v>
      </c>
      <c r="F25" s="282">
        <v>1500</v>
      </c>
      <c r="G25" s="280"/>
      <c r="H25" s="262"/>
      <c r="I25" s="282"/>
      <c r="J25" s="262"/>
      <c r="K25" s="282"/>
      <c r="L25" s="262"/>
      <c r="M25" s="282"/>
      <c r="N25" s="331"/>
      <c r="O25" s="282"/>
      <c r="P25" s="262">
        <f>F25*E25</f>
        <v>1500</v>
      </c>
      <c r="Q25" s="361"/>
      <c r="R25" s="361"/>
      <c r="S25" s="361"/>
      <c r="T25" s="361"/>
      <c r="U25" s="361"/>
      <c r="V25" s="361"/>
    </row>
    <row r="26" spans="1:22" x14ac:dyDescent="0.2">
      <c r="A26" s="261"/>
      <c r="B26" s="653" t="s">
        <v>609</v>
      </c>
      <c r="C26" s="654"/>
      <c r="D26" s="262"/>
      <c r="E26" s="263">
        <v>4</v>
      </c>
      <c r="F26" s="282">
        <v>350</v>
      </c>
      <c r="G26" s="280"/>
      <c r="H26" s="264"/>
      <c r="I26" s="282"/>
      <c r="J26" s="262"/>
      <c r="K26" s="282"/>
      <c r="L26" s="262">
        <f>F26*E26</f>
        <v>1400</v>
      </c>
      <c r="M26" s="282"/>
      <c r="N26" s="331"/>
      <c r="O26" s="282"/>
      <c r="P26" s="262"/>
      <c r="Q26" s="361"/>
      <c r="R26" s="361"/>
      <c r="S26" s="361"/>
      <c r="T26" s="361"/>
      <c r="U26" s="361"/>
      <c r="V26" s="361"/>
    </row>
    <row r="27" spans="1:22" x14ac:dyDescent="0.2">
      <c r="A27" s="261"/>
      <c r="B27" s="653" t="s">
        <v>610</v>
      </c>
      <c r="C27" s="654"/>
      <c r="D27" s="262"/>
      <c r="E27" s="263">
        <v>7</v>
      </c>
      <c r="F27" s="282">
        <v>100</v>
      </c>
      <c r="G27" s="280"/>
      <c r="H27" s="264"/>
      <c r="I27" s="282"/>
      <c r="J27" s="262"/>
      <c r="K27" s="282"/>
      <c r="L27" s="262"/>
      <c r="M27" s="282"/>
      <c r="N27" s="331"/>
      <c r="O27" s="282"/>
      <c r="P27" s="262">
        <f>F27*E27</f>
        <v>700</v>
      </c>
      <c r="Q27" s="361"/>
      <c r="R27" s="361"/>
      <c r="S27" s="361"/>
      <c r="T27" s="361"/>
      <c r="U27" s="361"/>
      <c r="V27" s="361"/>
    </row>
    <row r="28" spans="1:22" x14ac:dyDescent="0.2">
      <c r="A28" s="261"/>
      <c r="B28" s="653" t="s">
        <v>793</v>
      </c>
      <c r="C28" s="654"/>
      <c r="D28" s="262"/>
      <c r="E28" s="263">
        <v>7</v>
      </c>
      <c r="F28" s="282">
        <v>200</v>
      </c>
      <c r="G28" s="280"/>
      <c r="H28" s="262"/>
      <c r="I28" s="282"/>
      <c r="J28" s="262"/>
      <c r="K28" s="282"/>
      <c r="L28" s="262"/>
      <c r="M28" s="282"/>
      <c r="N28" s="331"/>
      <c r="O28" s="282"/>
      <c r="P28" s="262">
        <f>F28*E28</f>
        <v>1400</v>
      </c>
      <c r="Q28" s="361"/>
      <c r="R28" s="361"/>
      <c r="S28" s="361"/>
      <c r="T28" s="361"/>
      <c r="U28" s="361"/>
      <c r="V28" s="361"/>
    </row>
    <row r="29" spans="1:22" x14ac:dyDescent="0.2">
      <c r="A29" s="261"/>
      <c r="B29" s="653" t="s">
        <v>612</v>
      </c>
      <c r="C29" s="654"/>
      <c r="D29" s="262"/>
      <c r="E29" s="263"/>
      <c r="F29" s="282"/>
      <c r="G29" s="280"/>
      <c r="H29" s="262"/>
      <c r="I29" s="282"/>
      <c r="J29" s="262"/>
      <c r="K29" s="282"/>
      <c r="L29" s="262"/>
      <c r="M29" s="282"/>
      <c r="N29" s="331"/>
      <c r="O29" s="282"/>
      <c r="P29" s="262">
        <v>1000</v>
      </c>
      <c r="Q29" s="361"/>
      <c r="R29" s="361"/>
      <c r="S29" s="361"/>
      <c r="T29" s="361"/>
      <c r="U29" s="361"/>
      <c r="V29" s="361"/>
    </row>
    <row r="30" spans="1:22" x14ac:dyDescent="0.2">
      <c r="A30" s="261"/>
      <c r="B30" s="653" t="s">
        <v>619</v>
      </c>
      <c r="C30" s="654"/>
      <c r="D30" s="262"/>
      <c r="E30" s="263">
        <v>28</v>
      </c>
      <c r="F30" s="282">
        <v>600</v>
      </c>
      <c r="G30" s="280"/>
      <c r="H30" s="262"/>
      <c r="I30" s="282"/>
      <c r="J30" s="262"/>
      <c r="K30" s="282"/>
      <c r="L30" s="262"/>
      <c r="M30" s="282"/>
      <c r="N30" s="331"/>
      <c r="O30" s="282"/>
      <c r="P30" s="262">
        <f>F30*E30</f>
        <v>16800</v>
      </c>
      <c r="Q30" s="361"/>
      <c r="R30" s="361"/>
      <c r="S30" s="361"/>
      <c r="T30" s="361"/>
      <c r="U30" s="361"/>
      <c r="V30" s="361"/>
    </row>
    <row r="31" spans="1:22" x14ac:dyDescent="0.2">
      <c r="A31" s="261"/>
      <c r="B31" s="653" t="s">
        <v>615</v>
      </c>
      <c r="C31" s="654"/>
      <c r="D31" s="262"/>
      <c r="E31" s="263">
        <v>28</v>
      </c>
      <c r="F31" s="282">
        <v>500</v>
      </c>
      <c r="G31" s="280"/>
      <c r="H31" s="262"/>
      <c r="I31" s="282"/>
      <c r="J31" s="262"/>
      <c r="K31" s="282"/>
      <c r="L31" s="262"/>
      <c r="M31" s="282"/>
      <c r="N31" s="331"/>
      <c r="O31" s="282"/>
      <c r="P31" s="262">
        <f>F31*E31</f>
        <v>14000</v>
      </c>
      <c r="Q31" s="361"/>
      <c r="R31" s="361"/>
      <c r="S31" s="361"/>
      <c r="T31" s="361"/>
      <c r="U31" s="361"/>
      <c r="V31" s="361"/>
    </row>
    <row r="32" spans="1:22" x14ac:dyDescent="0.2">
      <c r="A32" s="261"/>
      <c r="B32" s="653" t="s">
        <v>615</v>
      </c>
      <c r="C32" s="654"/>
      <c r="D32" s="262"/>
      <c r="E32" s="263">
        <v>28</v>
      </c>
      <c r="F32" s="282">
        <v>500</v>
      </c>
      <c r="G32" s="280"/>
      <c r="H32" s="262"/>
      <c r="I32" s="282"/>
      <c r="J32" s="262"/>
      <c r="K32" s="282"/>
      <c r="L32" s="262"/>
      <c r="M32" s="282"/>
      <c r="N32" s="331"/>
      <c r="O32" s="282"/>
      <c r="P32" s="262">
        <f>F32*E32</f>
        <v>14000</v>
      </c>
      <c r="Q32" s="361"/>
      <c r="R32" s="361"/>
      <c r="S32" s="361"/>
      <c r="T32" s="361"/>
      <c r="U32" s="361"/>
      <c r="V32" s="361"/>
    </row>
    <row r="33" spans="1:22" x14ac:dyDescent="0.2">
      <c r="A33" s="261"/>
      <c r="B33" s="653"/>
      <c r="C33" s="654"/>
      <c r="D33" s="262"/>
      <c r="E33" s="263"/>
      <c r="F33" s="282"/>
      <c r="G33" s="280"/>
      <c r="H33" s="262"/>
      <c r="I33" s="282"/>
      <c r="J33" s="262"/>
      <c r="K33" s="282"/>
      <c r="L33" s="262"/>
      <c r="M33" s="282"/>
      <c r="N33" s="331"/>
      <c r="O33" s="282"/>
      <c r="P33" s="262"/>
      <c r="Q33" s="361"/>
      <c r="R33" s="361"/>
      <c r="S33" s="361"/>
      <c r="T33" s="361"/>
      <c r="U33" s="361"/>
      <c r="V33" s="361"/>
    </row>
    <row r="34" spans="1:22" x14ac:dyDescent="0.2">
      <c r="A34" s="261"/>
      <c r="B34" s="663" t="s">
        <v>592</v>
      </c>
      <c r="C34" s="664"/>
      <c r="D34" s="262"/>
      <c r="E34" s="263"/>
      <c r="F34" s="282"/>
      <c r="G34" s="280"/>
      <c r="H34" s="262"/>
      <c r="I34" s="282"/>
      <c r="J34" s="262"/>
      <c r="K34" s="282"/>
      <c r="L34" s="262"/>
      <c r="M34" s="282"/>
      <c r="N34" s="331"/>
      <c r="O34" s="282"/>
      <c r="P34" s="262"/>
      <c r="Q34" s="361"/>
      <c r="R34" s="361"/>
      <c r="S34" s="361"/>
      <c r="T34" s="361"/>
      <c r="U34" s="361"/>
      <c r="V34" s="361"/>
    </row>
    <row r="35" spans="1:22" x14ac:dyDescent="0.2">
      <c r="A35" s="261"/>
      <c r="B35" s="653" t="s">
        <v>616</v>
      </c>
      <c r="C35" s="654"/>
      <c r="D35" s="262"/>
      <c r="E35" s="263">
        <v>7</v>
      </c>
      <c r="F35" s="282">
        <v>2148</v>
      </c>
      <c r="G35" s="280"/>
      <c r="H35" s="262"/>
      <c r="I35" s="282"/>
      <c r="J35" s="262"/>
      <c r="K35" s="282"/>
      <c r="L35" s="262">
        <f>F35*E35</f>
        <v>15036</v>
      </c>
      <c r="M35" s="282"/>
      <c r="N35" s="331"/>
      <c r="O35" s="282"/>
      <c r="P35" s="262"/>
      <c r="Q35" s="361"/>
      <c r="R35" s="361"/>
      <c r="S35" s="361"/>
      <c r="T35" s="361"/>
      <c r="U35" s="361"/>
      <c r="V35" s="361"/>
    </row>
    <row r="36" spans="1:22" x14ac:dyDescent="0.2">
      <c r="A36" s="261"/>
      <c r="B36" s="653" t="s">
        <v>617</v>
      </c>
      <c r="C36" s="654"/>
      <c r="D36" s="262"/>
      <c r="E36" s="263">
        <v>7</v>
      </c>
      <c r="F36" s="282">
        <v>2173</v>
      </c>
      <c r="G36" s="280"/>
      <c r="H36" s="262"/>
      <c r="I36" s="282"/>
      <c r="J36" s="262"/>
      <c r="K36" s="282"/>
      <c r="L36" s="262">
        <f>F36*E36</f>
        <v>15211</v>
      </c>
      <c r="M36" s="282"/>
      <c r="N36" s="331"/>
      <c r="O36" s="282"/>
      <c r="P36" s="262"/>
      <c r="Q36" s="361"/>
      <c r="R36" s="361"/>
      <c r="S36" s="361"/>
      <c r="T36" s="361"/>
      <c r="U36" s="361"/>
      <c r="V36" s="361"/>
    </row>
    <row r="37" spans="1:22" x14ac:dyDescent="0.2">
      <c r="A37" s="261"/>
      <c r="B37" s="653"/>
      <c r="C37" s="654"/>
      <c r="D37" s="262"/>
      <c r="E37" s="263"/>
      <c r="F37" s="282"/>
      <c r="G37" s="280"/>
      <c r="H37" s="262"/>
      <c r="I37" s="282"/>
      <c r="J37" s="262"/>
      <c r="K37" s="282"/>
      <c r="L37" s="262"/>
      <c r="M37" s="282"/>
      <c r="N37" s="331"/>
      <c r="O37" s="282"/>
      <c r="P37" s="262"/>
      <c r="Q37" s="361"/>
      <c r="R37" s="361"/>
      <c r="S37" s="361"/>
      <c r="T37" s="361"/>
      <c r="U37" s="361"/>
      <c r="V37" s="361"/>
    </row>
    <row r="38" spans="1:22" x14ac:dyDescent="0.2">
      <c r="A38" s="261"/>
      <c r="B38" s="653"/>
      <c r="C38" s="654"/>
      <c r="D38" s="262"/>
      <c r="E38" s="263"/>
      <c r="F38" s="282"/>
      <c r="G38" s="280"/>
      <c r="H38" s="262"/>
      <c r="I38" s="282"/>
      <c r="J38" s="262"/>
      <c r="K38" s="282"/>
      <c r="L38" s="262"/>
      <c r="M38" s="282"/>
      <c r="N38" s="331"/>
      <c r="O38" s="282"/>
      <c r="P38" s="262"/>
      <c r="Q38" s="361"/>
      <c r="R38" s="361"/>
      <c r="S38" s="361"/>
      <c r="T38" s="361"/>
      <c r="U38" s="361"/>
      <c r="V38" s="361"/>
    </row>
    <row r="39" spans="1:22" x14ac:dyDescent="0.2">
      <c r="A39" s="261"/>
      <c r="B39" s="653"/>
      <c r="C39" s="654"/>
      <c r="D39" s="262"/>
      <c r="E39" s="263"/>
      <c r="F39" s="282"/>
      <c r="G39" s="280"/>
      <c r="H39" s="262"/>
      <c r="I39" s="282"/>
      <c r="J39" s="262"/>
      <c r="K39" s="282"/>
      <c r="L39" s="262"/>
      <c r="M39" s="282"/>
      <c r="N39" s="331"/>
      <c r="O39" s="282"/>
      <c r="P39" s="262"/>
    </row>
    <row r="40" spans="1:22" x14ac:dyDescent="0.2">
      <c r="A40" s="261"/>
      <c r="B40" s="653"/>
      <c r="C40" s="654"/>
      <c r="D40" s="262"/>
      <c r="E40" s="263"/>
      <c r="F40" s="282"/>
      <c r="G40" s="280"/>
      <c r="H40" s="262"/>
      <c r="I40" s="282"/>
      <c r="J40" s="262"/>
      <c r="K40" s="282"/>
      <c r="L40" s="262"/>
      <c r="M40" s="282"/>
      <c r="N40" s="331"/>
      <c r="O40" s="282"/>
      <c r="P40" s="262"/>
    </row>
    <row r="41" spans="1:22" x14ac:dyDescent="0.2">
      <c r="A41" s="261"/>
      <c r="B41" s="653"/>
      <c r="C41" s="654"/>
      <c r="D41" s="262"/>
      <c r="E41" s="263"/>
      <c r="F41" s="282"/>
      <c r="G41" s="265"/>
      <c r="H41" s="266"/>
      <c r="I41" s="267"/>
      <c r="J41" s="266"/>
      <c r="K41" s="267"/>
      <c r="L41" s="266"/>
      <c r="M41" s="267"/>
      <c r="N41" s="331"/>
      <c r="O41" s="267"/>
      <c r="P41" s="266"/>
    </row>
    <row r="42" spans="1:22" ht="13.5" thickBot="1" x14ac:dyDescent="0.25">
      <c r="A42" s="268"/>
      <c r="B42" s="379" t="s">
        <v>672</v>
      </c>
      <c r="C42" s="269"/>
      <c r="D42" s="270"/>
      <c r="E42" s="270"/>
      <c r="F42" s="271"/>
      <c r="G42" s="272"/>
      <c r="H42" s="273"/>
      <c r="I42" s="274"/>
      <c r="J42" s="273">
        <f>SUM(J8:J41)</f>
        <v>44200</v>
      </c>
      <c r="K42" s="274"/>
      <c r="L42" s="273">
        <f>SUM(L7:L41)</f>
        <v>36847</v>
      </c>
      <c r="M42" s="274"/>
      <c r="N42" s="273">
        <f>SUM(P7:P41)</f>
        <v>74950</v>
      </c>
      <c r="O42" s="274"/>
      <c r="P42" s="275">
        <f>SUM(J42:O42)</f>
        <v>155997</v>
      </c>
    </row>
    <row r="43" spans="1:22" x14ac:dyDescent="0.2">
      <c r="F43" s="292" t="s">
        <v>593</v>
      </c>
    </row>
    <row r="44" spans="1:22" x14ac:dyDescent="0.2">
      <c r="F44" s="292" t="s">
        <v>594</v>
      </c>
    </row>
  </sheetData>
  <mergeCells count="44">
    <mergeCell ref="Q2:R2"/>
    <mergeCell ref="B40:C40"/>
    <mergeCell ref="B41:C41"/>
    <mergeCell ref="B24:C24"/>
    <mergeCell ref="B32:C32"/>
    <mergeCell ref="B34:C34"/>
    <mergeCell ref="B35:C35"/>
    <mergeCell ref="B36:C36"/>
    <mergeCell ref="B37:C37"/>
    <mergeCell ref="B38:C38"/>
    <mergeCell ref="B39:C39"/>
    <mergeCell ref="B27:C27"/>
    <mergeCell ref="B28:C28"/>
    <mergeCell ref="B29:C29"/>
    <mergeCell ref="B30:C30"/>
    <mergeCell ref="B31:C31"/>
    <mergeCell ref="B33:C33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9:C9"/>
    <mergeCell ref="B10:C10"/>
    <mergeCell ref="B11:C11"/>
    <mergeCell ref="B12:C12"/>
    <mergeCell ref="B13:C13"/>
    <mergeCell ref="B8:C8"/>
    <mergeCell ref="A4:C4"/>
    <mergeCell ref="N4:P4"/>
    <mergeCell ref="M1:P1"/>
    <mergeCell ref="M2:P2"/>
    <mergeCell ref="M3:P3"/>
    <mergeCell ref="E1:L1"/>
    <mergeCell ref="E4:J4"/>
    <mergeCell ref="E3:J3"/>
    <mergeCell ref="B7:C7"/>
  </mergeCells>
  <hyperlinks>
    <hyperlink ref="Q2" location="'Table of Contents'!A1" display="Table of Contents"/>
  </hyperlinks>
  <pageMargins left="0.7" right="0.7" top="0.75" bottom="0.75" header="0.3" footer="0.3"/>
  <pageSetup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workbookViewId="0">
      <selection activeCell="D2" sqref="D2:E2"/>
    </sheetView>
  </sheetViews>
  <sheetFormatPr defaultRowHeight="15" x14ac:dyDescent="0.25"/>
  <cols>
    <col min="2" max="2" width="19.7109375" bestFit="1" customWidth="1"/>
    <col min="3" max="3" width="10.140625" bestFit="1" customWidth="1"/>
  </cols>
  <sheetData>
    <row r="1" spans="1:5" x14ac:dyDescent="0.25">
      <c r="A1" s="665" t="s">
        <v>685</v>
      </c>
      <c r="B1" s="666"/>
      <c r="C1" s="667"/>
    </row>
    <row r="2" spans="1:5" ht="15.75" x14ac:dyDescent="0.25">
      <c r="A2" s="541">
        <v>1</v>
      </c>
      <c r="B2" s="543" t="s">
        <v>567</v>
      </c>
      <c r="C2" s="544">
        <v>166297.15</v>
      </c>
      <c r="D2" s="638" t="s">
        <v>781</v>
      </c>
      <c r="E2" s="638"/>
    </row>
    <row r="3" spans="1:5" ht="15.75" x14ac:dyDescent="0.25">
      <c r="A3" s="542">
        <v>2</v>
      </c>
      <c r="B3" s="543" t="s">
        <v>559</v>
      </c>
      <c r="C3" s="544">
        <v>215464.57</v>
      </c>
    </row>
    <row r="4" spans="1:5" ht="15.75" x14ac:dyDescent="0.25">
      <c r="A4" s="542">
        <v>3</v>
      </c>
      <c r="B4" s="543" t="s">
        <v>560</v>
      </c>
      <c r="C4" s="544">
        <v>337024.17</v>
      </c>
    </row>
    <row r="5" spans="1:5" ht="15.75" x14ac:dyDescent="0.25">
      <c r="A5" s="542">
        <v>4</v>
      </c>
      <c r="B5" s="543" t="s">
        <v>570</v>
      </c>
      <c r="C5" s="544">
        <v>275322.39</v>
      </c>
    </row>
    <row r="6" spans="1:5" ht="15.75" x14ac:dyDescent="0.25">
      <c r="A6" s="541">
        <v>5</v>
      </c>
      <c r="B6" s="543" t="s">
        <v>571</v>
      </c>
      <c r="C6" s="544">
        <v>168934.18</v>
      </c>
    </row>
    <row r="7" spans="1:5" ht="15.75" x14ac:dyDescent="0.25">
      <c r="A7" s="542">
        <v>6</v>
      </c>
      <c r="B7" s="543" t="s">
        <v>620</v>
      </c>
      <c r="C7" s="544">
        <v>36194.639999999999</v>
      </c>
    </row>
    <row r="8" spans="1:5" ht="15.75" x14ac:dyDescent="0.25">
      <c r="A8" s="542">
        <v>7</v>
      </c>
      <c r="B8" s="543" t="s">
        <v>248</v>
      </c>
      <c r="C8" s="544">
        <v>2676.64</v>
      </c>
    </row>
    <row r="9" spans="1:5" ht="15.75" x14ac:dyDescent="0.25">
      <c r="A9" s="542">
        <v>8</v>
      </c>
      <c r="B9" s="543" t="s">
        <v>575</v>
      </c>
      <c r="C9" s="544">
        <v>91356.2</v>
      </c>
    </row>
    <row r="10" spans="1:5" ht="15.75" x14ac:dyDescent="0.25">
      <c r="A10" s="541">
        <v>9</v>
      </c>
      <c r="B10" s="543" t="s">
        <v>271</v>
      </c>
      <c r="C10" s="544">
        <v>60651.14</v>
      </c>
    </row>
    <row r="11" spans="1:5" ht="15.75" x14ac:dyDescent="0.25">
      <c r="A11" s="542">
        <v>10</v>
      </c>
      <c r="B11" s="543" t="s">
        <v>280</v>
      </c>
      <c r="C11" s="544">
        <v>6908.21</v>
      </c>
    </row>
    <row r="12" spans="1:5" ht="15.75" x14ac:dyDescent="0.25">
      <c r="A12" s="542">
        <v>11</v>
      </c>
      <c r="B12" s="543" t="s">
        <v>576</v>
      </c>
      <c r="C12" s="544">
        <v>28620.38</v>
      </c>
    </row>
    <row r="13" spans="1:5" ht="15.75" x14ac:dyDescent="0.25">
      <c r="A13" s="542">
        <v>12</v>
      </c>
      <c r="B13" s="543" t="s">
        <v>682</v>
      </c>
      <c r="C13" s="544">
        <v>2678.88</v>
      </c>
    </row>
    <row r="14" spans="1:5" ht="15.75" x14ac:dyDescent="0.25">
      <c r="A14" s="541">
        <v>13</v>
      </c>
      <c r="B14" s="543" t="s">
        <v>683</v>
      </c>
      <c r="C14" s="544">
        <v>87271.43</v>
      </c>
    </row>
    <row r="15" spans="1:5" ht="15.75" x14ac:dyDescent="0.25">
      <c r="A15" s="542">
        <v>14</v>
      </c>
      <c r="B15" s="543" t="s">
        <v>302</v>
      </c>
      <c r="C15" s="544">
        <v>217323.6</v>
      </c>
    </row>
    <row r="16" spans="1:5" ht="15.75" x14ac:dyDescent="0.25">
      <c r="A16" s="542">
        <v>15</v>
      </c>
      <c r="B16" s="543" t="s">
        <v>304</v>
      </c>
      <c r="C16" s="544">
        <v>198621.97</v>
      </c>
    </row>
    <row r="17" spans="1:3" ht="15.75" x14ac:dyDescent="0.25">
      <c r="A17" s="542">
        <v>16</v>
      </c>
      <c r="B17" s="543" t="s">
        <v>684</v>
      </c>
      <c r="C17" s="544">
        <v>206586.78</v>
      </c>
    </row>
    <row r="18" spans="1:3" x14ac:dyDescent="0.25">
      <c r="C18" s="545">
        <f>SUM(C2:C17)</f>
        <v>2101932.3299999991</v>
      </c>
    </row>
  </sheetData>
  <mergeCells count="2">
    <mergeCell ref="A1:C1"/>
    <mergeCell ref="D2:E2"/>
  </mergeCells>
  <hyperlinks>
    <hyperlink ref="D2" location="'Table of Contents'!A1" display="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1"/>
  <sheetViews>
    <sheetView workbookViewId="0">
      <pane xSplit="14" ySplit="6" topLeftCell="O24" activePane="bottomRight" state="frozen"/>
      <selection pane="topRight" activeCell="O1" sqref="O1"/>
      <selection pane="bottomLeft" activeCell="A7" sqref="A7"/>
      <selection pane="bottomRight" activeCell="A40" sqref="A40:C40"/>
    </sheetView>
  </sheetViews>
  <sheetFormatPr defaultRowHeight="12.75" x14ac:dyDescent="0.2"/>
  <cols>
    <col min="1" max="3" width="9.140625" style="301"/>
    <col min="4" max="8" width="9.140625" style="292"/>
    <col min="9" max="9" width="9.28515625" style="292" bestFit="1" customWidth="1"/>
    <col min="10" max="10" width="9.140625" style="292"/>
    <col min="11" max="11" width="9.28515625" style="292" bestFit="1" customWidth="1"/>
    <col min="12" max="12" width="9.140625" style="292"/>
    <col min="13" max="13" width="12" style="292" bestFit="1" customWidth="1"/>
    <col min="14" max="15" width="9.140625" style="292"/>
    <col min="16" max="16" width="9.140625" style="554"/>
    <col min="17" max="16384" width="9.140625" style="292"/>
  </cols>
  <sheetData>
    <row r="1" spans="1:19" x14ac:dyDescent="0.2">
      <c r="A1" s="300"/>
      <c r="C1" s="300"/>
      <c r="D1" s="288"/>
      <c r="E1" s="289" t="s">
        <v>0</v>
      </c>
      <c r="F1" s="289"/>
      <c r="G1" s="289"/>
      <c r="H1" s="289"/>
      <c r="I1" s="290"/>
      <c r="J1" s="290"/>
      <c r="K1" s="291"/>
      <c r="L1" s="620" t="s">
        <v>696</v>
      </c>
      <c r="M1" s="620"/>
      <c r="N1" s="287"/>
      <c r="O1" s="302"/>
      <c r="P1" s="556"/>
    </row>
    <row r="2" spans="1:19" ht="15" x14ac:dyDescent="0.25">
      <c r="A2" s="300"/>
      <c r="C2" s="300"/>
      <c r="D2" s="298"/>
      <c r="E2" s="291"/>
      <c r="F2" s="291"/>
      <c r="G2" s="291"/>
      <c r="H2" s="291"/>
      <c r="I2" s="291"/>
      <c r="J2" s="291"/>
      <c r="K2" s="291"/>
      <c r="L2" s="610" t="s">
        <v>21</v>
      </c>
      <c r="M2" s="610"/>
      <c r="N2" s="281"/>
      <c r="O2" s="284"/>
      <c r="P2" s="638" t="s">
        <v>781</v>
      </c>
      <c r="Q2" s="638"/>
    </row>
    <row r="3" spans="1:19" x14ac:dyDescent="0.2">
      <c r="A3" s="303"/>
      <c r="B3" s="304"/>
      <c r="C3" s="305"/>
      <c r="D3" s="620" t="s">
        <v>17</v>
      </c>
      <c r="E3" s="620"/>
      <c r="F3" s="620"/>
      <c r="G3" s="287"/>
      <c r="H3" s="287"/>
      <c r="I3" s="287"/>
      <c r="J3" s="291"/>
      <c r="K3" s="291"/>
      <c r="L3" s="610" t="s">
        <v>656</v>
      </c>
      <c r="M3" s="610"/>
      <c r="N3" s="281"/>
      <c r="O3" s="284"/>
      <c r="P3" s="556"/>
    </row>
    <row r="4" spans="1:19" x14ac:dyDescent="0.2">
      <c r="A4" s="710" t="s">
        <v>18</v>
      </c>
      <c r="B4" s="710"/>
      <c r="C4" s="710"/>
      <c r="D4" s="711" t="s">
        <v>349</v>
      </c>
      <c r="E4" s="711"/>
      <c r="F4" s="711"/>
      <c r="G4" s="290"/>
      <c r="H4" s="290"/>
      <c r="I4" s="290"/>
      <c r="J4" s="290"/>
      <c r="K4" s="290"/>
      <c r="L4" s="711" t="s">
        <v>19</v>
      </c>
      <c r="M4" s="711"/>
      <c r="N4" s="290"/>
      <c r="O4" s="288"/>
      <c r="P4" s="288"/>
    </row>
    <row r="5" spans="1:19" x14ac:dyDescent="0.2">
      <c r="A5" s="306"/>
      <c r="B5" s="307"/>
      <c r="C5" s="308"/>
      <c r="D5" s="293" t="s">
        <v>2</v>
      </c>
      <c r="E5" s="309" t="s">
        <v>3</v>
      </c>
      <c r="F5" s="310"/>
      <c r="G5" s="310"/>
      <c r="H5" s="310"/>
      <c r="I5" s="311"/>
      <c r="J5" s="312"/>
      <c r="K5" s="311"/>
      <c r="L5" s="312"/>
      <c r="M5" s="311"/>
      <c r="N5" s="312"/>
      <c r="O5" s="293" t="s">
        <v>4</v>
      </c>
      <c r="P5" s="293"/>
      <c r="Q5" s="313"/>
      <c r="R5" s="314"/>
      <c r="S5" s="315"/>
    </row>
    <row r="6" spans="1:19" ht="13.5" thickBot="1" x14ac:dyDescent="0.25">
      <c r="A6" s="316" t="s">
        <v>5</v>
      </c>
      <c r="B6" s="317"/>
      <c r="C6" s="318"/>
      <c r="D6" s="319" t="s">
        <v>6</v>
      </c>
      <c r="E6" s="320" t="s">
        <v>7</v>
      </c>
      <c r="F6" s="320" t="s">
        <v>8</v>
      </c>
      <c r="G6" s="320" t="s">
        <v>9</v>
      </c>
      <c r="H6" s="319" t="s">
        <v>10</v>
      </c>
      <c r="I6" s="320" t="s">
        <v>11</v>
      </c>
      <c r="J6" s="320" t="s">
        <v>12</v>
      </c>
      <c r="K6" s="320" t="s">
        <v>13</v>
      </c>
      <c r="L6" s="321" t="s">
        <v>12</v>
      </c>
      <c r="M6" s="320" t="s">
        <v>14</v>
      </c>
      <c r="N6" s="321" t="s">
        <v>12</v>
      </c>
      <c r="O6" s="319" t="s">
        <v>15</v>
      </c>
      <c r="P6" s="319" t="s">
        <v>742</v>
      </c>
      <c r="Q6" s="704" t="s">
        <v>40</v>
      </c>
      <c r="R6" s="705"/>
      <c r="S6" s="706"/>
    </row>
    <row r="7" spans="1:19" x14ac:dyDescent="0.2">
      <c r="A7" s="593"/>
      <c r="B7" s="594"/>
      <c r="C7" s="595"/>
      <c r="D7" s="322"/>
      <c r="E7" s="323"/>
      <c r="F7" s="324"/>
      <c r="G7" s="325"/>
      <c r="H7" s="326"/>
      <c r="I7" s="323"/>
      <c r="J7" s="326"/>
      <c r="K7" s="327"/>
      <c r="L7" s="328"/>
      <c r="M7" s="323"/>
      <c r="N7" s="326"/>
      <c r="O7" s="329"/>
      <c r="P7" s="558"/>
      <c r="Q7" s="707"/>
      <c r="R7" s="708"/>
      <c r="S7" s="709"/>
    </row>
    <row r="8" spans="1:19" ht="15" x14ac:dyDescent="0.25">
      <c r="A8" s="694" t="s">
        <v>325</v>
      </c>
      <c r="B8" s="695"/>
      <c r="C8" s="696"/>
      <c r="D8" s="564" t="s">
        <v>326</v>
      </c>
      <c r="E8" s="330"/>
      <c r="F8" s="331"/>
      <c r="G8" s="332"/>
      <c r="H8" s="333"/>
      <c r="I8" s="330">
        <v>23415</v>
      </c>
      <c r="J8" s="24" t="s">
        <v>42</v>
      </c>
      <c r="K8" s="334"/>
      <c r="L8" s="333"/>
      <c r="M8" s="335">
        <f>I8/43560</f>
        <v>0.53753443526170797</v>
      </c>
      <c r="N8" s="336" t="s">
        <v>328</v>
      </c>
      <c r="O8" s="337"/>
      <c r="P8" s="570" t="s">
        <v>743</v>
      </c>
      <c r="Q8" s="671"/>
      <c r="R8" s="672"/>
      <c r="S8" s="673"/>
    </row>
    <row r="9" spans="1:19" x14ac:dyDescent="0.2">
      <c r="A9" s="668"/>
      <c r="B9" s="669"/>
      <c r="C9" s="670"/>
      <c r="D9" s="22"/>
      <c r="E9" s="330"/>
      <c r="F9" s="331"/>
      <c r="G9" s="332"/>
      <c r="H9" s="333"/>
      <c r="I9" s="330" t="s">
        <v>327</v>
      </c>
      <c r="J9" s="333"/>
      <c r="K9" s="334"/>
      <c r="L9" s="333"/>
      <c r="M9" s="330"/>
      <c r="N9" s="333"/>
      <c r="O9" s="337"/>
      <c r="P9" s="560"/>
      <c r="Q9" s="671"/>
      <c r="R9" s="672"/>
      <c r="S9" s="673"/>
    </row>
    <row r="10" spans="1:19" x14ac:dyDescent="0.2">
      <c r="A10" s="668"/>
      <c r="B10" s="669"/>
      <c r="C10" s="670"/>
      <c r="D10" s="22"/>
      <c r="E10" s="330"/>
      <c r="F10" s="331"/>
      <c r="G10" s="332"/>
      <c r="H10" s="333"/>
      <c r="I10" s="330"/>
      <c r="J10" s="333"/>
      <c r="K10" s="334"/>
      <c r="L10" s="333"/>
      <c r="M10" s="330"/>
      <c r="N10" s="333"/>
      <c r="O10" s="337"/>
      <c r="P10" s="560"/>
      <c r="Q10" s="671"/>
      <c r="R10" s="672"/>
      <c r="S10" s="673"/>
    </row>
    <row r="11" spans="1:19" ht="15" x14ac:dyDescent="0.25">
      <c r="A11" s="694" t="s">
        <v>329</v>
      </c>
      <c r="B11" s="695"/>
      <c r="C11" s="696"/>
      <c r="D11" s="564" t="s">
        <v>326</v>
      </c>
      <c r="E11" s="330"/>
      <c r="F11" s="331"/>
      <c r="G11" s="332"/>
      <c r="H11" s="333"/>
      <c r="I11" s="330"/>
      <c r="J11" s="333"/>
      <c r="K11" s="334"/>
      <c r="L11" s="333"/>
      <c r="M11" s="339">
        <v>427</v>
      </c>
      <c r="N11" s="336" t="s">
        <v>330</v>
      </c>
      <c r="O11" s="337"/>
      <c r="P11" s="570" t="s">
        <v>743</v>
      </c>
      <c r="Q11" s="671"/>
      <c r="R11" s="672"/>
      <c r="S11" s="673"/>
    </row>
    <row r="12" spans="1:19" x14ac:dyDescent="0.2">
      <c r="A12" s="668"/>
      <c r="B12" s="669"/>
      <c r="C12" s="670"/>
      <c r="D12" s="338"/>
      <c r="E12" s="330"/>
      <c r="F12" s="331"/>
      <c r="G12" s="332"/>
      <c r="H12" s="333"/>
      <c r="I12" s="330"/>
      <c r="J12" s="333"/>
      <c r="K12" s="334"/>
      <c r="L12" s="333"/>
      <c r="M12" s="330"/>
      <c r="N12" s="333"/>
      <c r="O12" s="337"/>
      <c r="P12" s="560"/>
      <c r="Q12" s="671"/>
      <c r="R12" s="672"/>
      <c r="S12" s="673"/>
    </row>
    <row r="13" spans="1:19" ht="15" x14ac:dyDescent="0.25">
      <c r="A13" s="694" t="s">
        <v>331</v>
      </c>
      <c r="B13" s="695"/>
      <c r="C13" s="696"/>
      <c r="D13" s="564" t="s">
        <v>326</v>
      </c>
      <c r="E13" s="330"/>
      <c r="F13" s="331"/>
      <c r="G13" s="332"/>
      <c r="H13" s="333"/>
      <c r="I13" s="330"/>
      <c r="J13" s="340"/>
      <c r="K13" s="334"/>
      <c r="L13" s="24"/>
      <c r="M13" s="339">
        <v>1.2</v>
      </c>
      <c r="N13" s="336" t="s">
        <v>330</v>
      </c>
      <c r="O13" s="337"/>
      <c r="P13" s="560"/>
      <c r="Q13" s="671"/>
      <c r="R13" s="672"/>
      <c r="S13" s="673"/>
    </row>
    <row r="14" spans="1:19" x14ac:dyDescent="0.2">
      <c r="A14" s="668"/>
      <c r="B14" s="669"/>
      <c r="C14" s="670"/>
      <c r="D14" s="338"/>
      <c r="E14" s="330"/>
      <c r="F14" s="331"/>
      <c r="G14" s="332"/>
      <c r="H14" s="333"/>
      <c r="I14" s="330"/>
      <c r="J14" s="333"/>
      <c r="K14" s="60"/>
      <c r="L14" s="333"/>
      <c r="M14" s="341"/>
      <c r="N14" s="33"/>
      <c r="O14" s="283"/>
      <c r="P14" s="559"/>
      <c r="Q14" s="671"/>
      <c r="R14" s="672"/>
      <c r="S14" s="673"/>
    </row>
    <row r="15" spans="1:19" ht="15" x14ac:dyDescent="0.25">
      <c r="A15" s="694" t="s">
        <v>332</v>
      </c>
      <c r="B15" s="695"/>
      <c r="C15" s="696"/>
      <c r="D15" s="564" t="s">
        <v>326</v>
      </c>
      <c r="E15" s="330"/>
      <c r="F15" s="331"/>
      <c r="G15" s="332"/>
      <c r="H15" s="333"/>
      <c r="I15" s="330">
        <v>2583</v>
      </c>
      <c r="J15" s="333" t="s">
        <v>330</v>
      </c>
      <c r="K15" s="334"/>
      <c r="L15" s="333"/>
      <c r="M15" s="342">
        <f>I15*1.25</f>
        <v>3228.75</v>
      </c>
      <c r="N15" s="336" t="s">
        <v>334</v>
      </c>
      <c r="O15" s="337"/>
      <c r="P15" s="570" t="s">
        <v>743</v>
      </c>
      <c r="Q15" s="671"/>
      <c r="R15" s="672"/>
      <c r="S15" s="673"/>
    </row>
    <row r="16" spans="1:19" x14ac:dyDescent="0.2">
      <c r="A16" s="612"/>
      <c r="B16" s="613"/>
      <c r="C16" s="614"/>
      <c r="D16" s="338"/>
      <c r="E16" s="330"/>
      <c r="F16" s="331"/>
      <c r="G16" s="332"/>
      <c r="H16" s="333"/>
      <c r="I16" s="330" t="s">
        <v>333</v>
      </c>
      <c r="J16" s="333"/>
      <c r="K16" s="334"/>
      <c r="L16" s="333"/>
      <c r="M16" s="343"/>
      <c r="N16" s="344"/>
      <c r="O16" s="337"/>
      <c r="P16" s="560"/>
      <c r="Q16" s="671"/>
      <c r="R16" s="672"/>
      <c r="S16" s="673"/>
    </row>
    <row r="17" spans="1:19" x14ac:dyDescent="0.2">
      <c r="A17" s="609"/>
      <c r="B17" s="610"/>
      <c r="C17" s="611"/>
      <c r="D17" s="338"/>
      <c r="E17" s="330"/>
      <c r="F17" s="331"/>
      <c r="G17" s="332"/>
      <c r="H17" s="333"/>
      <c r="I17" s="330"/>
      <c r="J17" s="333"/>
      <c r="K17" s="334"/>
      <c r="L17" s="333"/>
      <c r="M17" s="343"/>
      <c r="N17" s="344"/>
      <c r="O17" s="337"/>
      <c r="P17" s="560"/>
      <c r="Q17" s="671"/>
      <c r="R17" s="672"/>
      <c r="S17" s="673"/>
    </row>
    <row r="18" spans="1:19" ht="15" x14ac:dyDescent="0.25">
      <c r="A18" s="694" t="s">
        <v>335</v>
      </c>
      <c r="B18" s="695"/>
      <c r="C18" s="696"/>
      <c r="D18" s="22" t="s">
        <v>326</v>
      </c>
      <c r="E18" s="330"/>
      <c r="F18" s="331"/>
      <c r="G18" s="332"/>
      <c r="H18" s="333"/>
      <c r="I18" s="345">
        <f>M15</f>
        <v>3228.75</v>
      </c>
      <c r="J18" s="24" t="s">
        <v>334</v>
      </c>
      <c r="K18" s="346"/>
      <c r="L18" s="24"/>
      <c r="M18" s="342">
        <f>I18</f>
        <v>3228.75</v>
      </c>
      <c r="N18" s="336" t="s">
        <v>334</v>
      </c>
      <c r="O18" s="337"/>
      <c r="P18" s="570" t="s">
        <v>743</v>
      </c>
      <c r="Q18" s="671"/>
      <c r="R18" s="672"/>
      <c r="S18" s="673"/>
    </row>
    <row r="19" spans="1:19" x14ac:dyDescent="0.2">
      <c r="A19" s="668"/>
      <c r="B19" s="669"/>
      <c r="C19" s="670"/>
      <c r="D19" s="22"/>
      <c r="E19" s="330"/>
      <c r="F19" s="331"/>
      <c r="G19" s="332"/>
      <c r="H19" s="333"/>
      <c r="I19" s="330"/>
      <c r="J19" s="333"/>
      <c r="K19" s="334"/>
      <c r="L19" s="333"/>
      <c r="M19" s="343"/>
      <c r="N19" s="344"/>
      <c r="O19" s="337"/>
      <c r="P19" s="560"/>
      <c r="Q19" s="671"/>
      <c r="R19" s="672"/>
      <c r="S19" s="673"/>
    </row>
    <row r="20" spans="1:19" ht="15" x14ac:dyDescent="0.25">
      <c r="A20" s="694" t="s">
        <v>336</v>
      </c>
      <c r="B20" s="695"/>
      <c r="C20" s="696"/>
      <c r="D20" s="338" t="s">
        <v>326</v>
      </c>
      <c r="E20" s="330"/>
      <c r="F20" s="331"/>
      <c r="G20" s="332"/>
      <c r="H20" s="333"/>
      <c r="I20" s="347"/>
      <c r="J20" s="333"/>
      <c r="K20" s="334"/>
      <c r="L20" s="333"/>
      <c r="M20" s="339">
        <v>213.9</v>
      </c>
      <c r="N20" s="336" t="s">
        <v>330</v>
      </c>
      <c r="O20" s="337"/>
      <c r="P20" s="570" t="s">
        <v>743</v>
      </c>
      <c r="Q20" s="671" t="s">
        <v>337</v>
      </c>
      <c r="R20" s="672"/>
      <c r="S20" s="673"/>
    </row>
    <row r="21" spans="1:19" x14ac:dyDescent="0.2">
      <c r="A21" s="609"/>
      <c r="B21" s="610"/>
      <c r="C21" s="611"/>
      <c r="D21" s="338"/>
      <c r="E21" s="330"/>
      <c r="F21" s="331"/>
      <c r="G21" s="332"/>
      <c r="H21" s="333"/>
      <c r="I21" s="330"/>
      <c r="J21" s="333"/>
      <c r="K21" s="334"/>
      <c r="L21" s="333"/>
      <c r="M21" s="343"/>
      <c r="N21" s="344"/>
      <c r="O21" s="337"/>
      <c r="P21" s="560"/>
      <c r="Q21" s="671"/>
      <c r="R21" s="672"/>
      <c r="S21" s="673"/>
    </row>
    <row r="22" spans="1:19" ht="15" x14ac:dyDescent="0.25">
      <c r="A22" s="694" t="s">
        <v>338</v>
      </c>
      <c r="B22" s="695"/>
      <c r="C22" s="696"/>
      <c r="D22" s="338" t="s">
        <v>326</v>
      </c>
      <c r="E22" s="330"/>
      <c r="F22" s="331"/>
      <c r="G22" s="332"/>
      <c r="H22" s="333"/>
      <c r="I22" s="330">
        <f>M11</f>
        <v>427</v>
      </c>
      <c r="J22" s="333" t="s">
        <v>330</v>
      </c>
      <c r="K22" s="334">
        <f>I22-M20</f>
        <v>213.1</v>
      </c>
      <c r="L22" s="333" t="s">
        <v>330</v>
      </c>
      <c r="M22" s="339">
        <f>K22*1.25</f>
        <v>266.375</v>
      </c>
      <c r="N22" s="336" t="s">
        <v>334</v>
      </c>
      <c r="O22" s="337"/>
      <c r="P22" s="570" t="s">
        <v>743</v>
      </c>
      <c r="Q22" s="671"/>
      <c r="R22" s="672"/>
      <c r="S22" s="673"/>
    </row>
    <row r="23" spans="1:19" x14ac:dyDescent="0.2">
      <c r="A23" s="668" t="s">
        <v>339</v>
      </c>
      <c r="B23" s="669"/>
      <c r="C23" s="670"/>
      <c r="D23" s="338"/>
      <c r="E23" s="330"/>
      <c r="F23" s="331"/>
      <c r="G23" s="332"/>
      <c r="H23" s="333"/>
      <c r="I23" s="330">
        <f>-M20</f>
        <v>-213.9</v>
      </c>
      <c r="J23" s="333" t="s">
        <v>330</v>
      </c>
      <c r="K23" s="334" t="s">
        <v>333</v>
      </c>
      <c r="L23" s="333"/>
      <c r="M23" s="343"/>
      <c r="N23" s="344"/>
      <c r="O23" s="337"/>
      <c r="P23" s="560"/>
      <c r="Q23" s="671"/>
      <c r="R23" s="672"/>
      <c r="S23" s="673"/>
    </row>
    <row r="24" spans="1:19" x14ac:dyDescent="0.2">
      <c r="A24" s="686"/>
      <c r="B24" s="687"/>
      <c r="C24" s="688"/>
      <c r="D24" s="338"/>
      <c r="E24" s="330"/>
      <c r="F24" s="331"/>
      <c r="G24" s="332"/>
      <c r="H24" s="333"/>
      <c r="I24" s="330"/>
      <c r="J24" s="333"/>
      <c r="K24" s="334"/>
      <c r="L24" s="333"/>
      <c r="M24" s="343"/>
      <c r="N24" s="344"/>
      <c r="O24" s="337"/>
      <c r="P24" s="560"/>
      <c r="Q24" s="671"/>
      <c r="R24" s="672"/>
      <c r="S24" s="673"/>
    </row>
    <row r="25" spans="1:19" x14ac:dyDescent="0.2">
      <c r="A25" s="690"/>
      <c r="B25" s="669"/>
      <c r="C25" s="670"/>
      <c r="D25" s="348"/>
      <c r="E25" s="330"/>
      <c r="F25" s="331"/>
      <c r="G25" s="332"/>
      <c r="H25" s="333"/>
      <c r="I25" s="347"/>
      <c r="J25" s="333"/>
      <c r="K25" s="334"/>
      <c r="L25" s="333"/>
      <c r="M25" s="343"/>
      <c r="N25" s="344"/>
      <c r="O25" s="337"/>
      <c r="P25" s="560"/>
      <c r="Q25" s="671"/>
      <c r="R25" s="672"/>
      <c r="S25" s="673"/>
    </row>
    <row r="26" spans="1:19" x14ac:dyDescent="0.2">
      <c r="A26" s="703" t="s">
        <v>340</v>
      </c>
      <c r="B26" s="695"/>
      <c r="C26" s="696"/>
      <c r="D26" s="348" t="s">
        <v>326</v>
      </c>
      <c r="E26" s="330"/>
      <c r="F26" s="331"/>
      <c r="G26" s="332"/>
      <c r="H26" s="333"/>
      <c r="I26" s="330"/>
      <c r="J26" s="333"/>
      <c r="K26" s="334"/>
      <c r="L26" s="333"/>
      <c r="M26" s="343"/>
      <c r="N26" s="344"/>
      <c r="O26" s="337"/>
      <c r="P26" s="560"/>
      <c r="Q26" s="671"/>
      <c r="R26" s="672"/>
      <c r="S26" s="673"/>
    </row>
    <row r="27" spans="1:19" x14ac:dyDescent="0.2">
      <c r="A27" s="690" t="s">
        <v>341</v>
      </c>
      <c r="B27" s="669"/>
      <c r="C27" s="670"/>
      <c r="D27" s="348"/>
      <c r="E27" s="330"/>
      <c r="F27" s="331"/>
      <c r="G27" s="332"/>
      <c r="H27" s="333"/>
      <c r="I27" s="347">
        <f>Concrete!M23</f>
        <v>188.25925925925924</v>
      </c>
      <c r="J27" s="333" t="s">
        <v>16</v>
      </c>
      <c r="K27" s="334"/>
      <c r="L27" s="333"/>
      <c r="M27" s="343"/>
      <c r="N27" s="344"/>
      <c r="O27" s="337"/>
      <c r="P27" s="560"/>
      <c r="Q27" s="671"/>
      <c r="R27" s="672"/>
      <c r="S27" s="673"/>
    </row>
    <row r="28" spans="1:19" x14ac:dyDescent="0.2">
      <c r="A28" s="690" t="s">
        <v>25</v>
      </c>
      <c r="B28" s="669"/>
      <c r="C28" s="670"/>
      <c r="D28" s="348"/>
      <c r="E28" s="330"/>
      <c r="F28" s="331"/>
      <c r="G28" s="332"/>
      <c r="H28" s="333"/>
      <c r="I28" s="347">
        <f>Concrete!M36</f>
        <v>54.80282600308643</v>
      </c>
      <c r="J28" s="333" t="s">
        <v>16</v>
      </c>
      <c r="K28" s="334"/>
      <c r="L28" s="333"/>
      <c r="M28" s="343"/>
      <c r="N28" s="344"/>
      <c r="O28" s="337"/>
      <c r="P28" s="560"/>
      <c r="Q28" s="671"/>
      <c r="R28" s="672"/>
      <c r="S28" s="673"/>
    </row>
    <row r="29" spans="1:19" x14ac:dyDescent="0.2">
      <c r="A29" s="690" t="s">
        <v>342</v>
      </c>
      <c r="B29" s="669"/>
      <c r="C29" s="670"/>
      <c r="D29" s="348"/>
      <c r="E29" s="330"/>
      <c r="F29" s="331"/>
      <c r="G29" s="332"/>
      <c r="H29" s="333"/>
      <c r="I29" s="347">
        <f>Concrete!M45</f>
        <v>74.651851851851859</v>
      </c>
      <c r="J29" s="333" t="s">
        <v>16</v>
      </c>
      <c r="K29" s="334"/>
      <c r="L29" s="333"/>
      <c r="M29" s="343"/>
      <c r="N29" s="344"/>
      <c r="O29" s="337"/>
      <c r="P29" s="560"/>
      <c r="Q29" s="671"/>
      <c r="R29" s="672"/>
      <c r="S29" s="673"/>
    </row>
    <row r="30" spans="1:19" ht="15" x14ac:dyDescent="0.25">
      <c r="A30" s="700" t="s">
        <v>14</v>
      </c>
      <c r="B30" s="701"/>
      <c r="C30" s="702"/>
      <c r="D30" s="348"/>
      <c r="E30" s="330"/>
      <c r="F30" s="331"/>
      <c r="G30" s="332"/>
      <c r="H30" s="333"/>
      <c r="I30" s="347">
        <f>SUM(I27:I29)</f>
        <v>317.71393711419751</v>
      </c>
      <c r="J30" s="333" t="s">
        <v>16</v>
      </c>
      <c r="K30" s="334" t="s">
        <v>343</v>
      </c>
      <c r="L30" s="333"/>
      <c r="M30" s="335">
        <f>I30*0.95</f>
        <v>301.8282402584876</v>
      </c>
      <c r="N30" s="336" t="s">
        <v>330</v>
      </c>
      <c r="O30" s="337"/>
      <c r="P30" s="570" t="s">
        <v>743</v>
      </c>
      <c r="Q30" s="671"/>
      <c r="R30" s="672"/>
      <c r="S30" s="673"/>
    </row>
    <row r="31" spans="1:19" x14ac:dyDescent="0.2">
      <c r="A31" s="690"/>
      <c r="B31" s="669"/>
      <c r="C31" s="670"/>
      <c r="D31" s="348"/>
      <c r="E31" s="330"/>
      <c r="F31" s="331"/>
      <c r="G31" s="332"/>
      <c r="H31" s="333"/>
      <c r="I31" s="330"/>
      <c r="J31" s="333"/>
      <c r="K31" s="334"/>
      <c r="L31" s="333"/>
      <c r="M31" s="343"/>
      <c r="N31" s="344"/>
      <c r="O31" s="337"/>
      <c r="P31" s="560"/>
      <c r="Q31" s="671"/>
      <c r="R31" s="672"/>
      <c r="S31" s="673"/>
    </row>
    <row r="32" spans="1:19" x14ac:dyDescent="0.2">
      <c r="A32" s="697" t="s">
        <v>344</v>
      </c>
      <c r="B32" s="698"/>
      <c r="C32" s="699"/>
      <c r="D32" s="338" t="s">
        <v>326</v>
      </c>
      <c r="E32" s="330"/>
      <c r="F32" s="331"/>
      <c r="G32" s="332"/>
      <c r="H32" s="333"/>
      <c r="I32" s="330"/>
      <c r="J32" s="333"/>
      <c r="K32" s="334"/>
      <c r="L32" s="333"/>
      <c r="M32" s="343"/>
      <c r="N32" s="344"/>
      <c r="O32" s="337"/>
      <c r="P32" s="560"/>
      <c r="Q32" s="671"/>
      <c r="R32" s="672"/>
      <c r="S32" s="673"/>
    </row>
    <row r="33" spans="1:19" ht="15" x14ac:dyDescent="0.25">
      <c r="A33" s="668" t="s">
        <v>345</v>
      </c>
      <c r="B33" s="669"/>
      <c r="C33" s="670"/>
      <c r="D33" s="22"/>
      <c r="E33" s="330"/>
      <c r="F33" s="331"/>
      <c r="G33" s="332"/>
      <c r="H33" s="333"/>
      <c r="I33" s="347">
        <f>I30*0.05</f>
        <v>15.885696855709876</v>
      </c>
      <c r="J33" s="333" t="s">
        <v>16</v>
      </c>
      <c r="K33" s="334"/>
      <c r="L33" s="333"/>
      <c r="M33" s="335">
        <f>I33</f>
        <v>15.885696855709876</v>
      </c>
      <c r="N33" s="336" t="s">
        <v>330</v>
      </c>
      <c r="O33" s="337"/>
      <c r="P33" s="570" t="s">
        <v>743</v>
      </c>
      <c r="Q33" s="671"/>
      <c r="R33" s="672"/>
      <c r="S33" s="673"/>
    </row>
    <row r="34" spans="1:19" x14ac:dyDescent="0.2">
      <c r="A34" s="668"/>
      <c r="B34" s="669"/>
      <c r="C34" s="670"/>
      <c r="D34" s="338"/>
      <c r="E34" s="330"/>
      <c r="F34" s="331"/>
      <c r="G34" s="332"/>
      <c r="H34" s="333"/>
      <c r="I34" s="330"/>
      <c r="J34" s="333"/>
      <c r="K34" s="334"/>
      <c r="L34" s="24"/>
      <c r="M34" s="343"/>
      <c r="N34" s="344"/>
      <c r="O34" s="337"/>
      <c r="P34" s="560"/>
      <c r="Q34" s="671"/>
      <c r="R34" s="672"/>
      <c r="S34" s="673"/>
    </row>
    <row r="35" spans="1:19" ht="15" x14ac:dyDescent="0.25">
      <c r="A35" s="694" t="s">
        <v>346</v>
      </c>
      <c r="B35" s="695"/>
      <c r="C35" s="696"/>
      <c r="D35" s="338"/>
      <c r="E35" s="330"/>
      <c r="F35" s="331"/>
      <c r="G35" s="332"/>
      <c r="H35" s="333"/>
      <c r="I35" s="330"/>
      <c r="J35" s="333"/>
      <c r="K35" s="60"/>
      <c r="L35" s="333"/>
      <c r="M35" s="335">
        <f>Concrete!I8</f>
        <v>10141</v>
      </c>
      <c r="N35" s="70" t="s">
        <v>348</v>
      </c>
      <c r="O35" s="337"/>
      <c r="P35" s="570" t="s">
        <v>743</v>
      </c>
      <c r="Q35" s="671" t="s">
        <v>347</v>
      </c>
      <c r="R35" s="672"/>
      <c r="S35" s="673"/>
    </row>
    <row r="36" spans="1:19" x14ac:dyDescent="0.2">
      <c r="A36" s="668"/>
      <c r="B36" s="669"/>
      <c r="C36" s="670"/>
      <c r="D36" s="338"/>
      <c r="E36" s="330"/>
      <c r="F36" s="331"/>
      <c r="G36" s="332"/>
      <c r="H36" s="333"/>
      <c r="I36" s="330"/>
      <c r="J36" s="333"/>
      <c r="K36" s="334"/>
      <c r="L36" s="333"/>
      <c r="M36" s="343"/>
      <c r="N36" s="344"/>
      <c r="O36" s="337"/>
      <c r="P36" s="560"/>
      <c r="Q36" s="671"/>
      <c r="R36" s="672"/>
      <c r="S36" s="673"/>
    </row>
    <row r="37" spans="1:19" x14ac:dyDescent="0.2">
      <c r="A37" s="691" t="s">
        <v>350</v>
      </c>
      <c r="B37" s="692"/>
      <c r="C37" s="693"/>
      <c r="D37" s="338" t="s">
        <v>326</v>
      </c>
      <c r="E37" s="330"/>
      <c r="F37" s="331"/>
      <c r="G37" s="332"/>
      <c r="H37" s="333"/>
      <c r="I37" s="330"/>
      <c r="J37" s="333"/>
      <c r="K37" s="334"/>
      <c r="L37" s="333"/>
      <c r="M37" s="343"/>
      <c r="N37" s="344"/>
      <c r="O37" s="337"/>
      <c r="P37" s="560"/>
      <c r="Q37" s="671"/>
      <c r="R37" s="672"/>
      <c r="S37" s="673"/>
    </row>
    <row r="38" spans="1:19" ht="15" x14ac:dyDescent="0.25">
      <c r="A38" s="609" t="s">
        <v>351</v>
      </c>
      <c r="B38" s="610"/>
      <c r="C38" s="611"/>
      <c r="D38" s="338"/>
      <c r="E38" s="330"/>
      <c r="F38" s="331"/>
      <c r="G38" s="332"/>
      <c r="H38" s="333"/>
      <c r="I38" s="330">
        <v>1774</v>
      </c>
      <c r="J38" s="333" t="s">
        <v>42</v>
      </c>
      <c r="K38" s="334"/>
      <c r="L38" s="333"/>
      <c r="M38" s="339">
        <f>(I38*1.85)/27</f>
        <v>121.55185185185185</v>
      </c>
      <c r="N38" s="336"/>
      <c r="O38" s="337"/>
      <c r="P38" s="567" t="s">
        <v>744</v>
      </c>
      <c r="Q38" s="671"/>
      <c r="R38" s="672"/>
      <c r="S38" s="673"/>
    </row>
    <row r="39" spans="1:19" ht="15" x14ac:dyDescent="0.25">
      <c r="A39" s="668" t="s">
        <v>352</v>
      </c>
      <c r="B39" s="669"/>
      <c r="C39" s="670"/>
      <c r="D39" s="338"/>
      <c r="E39" s="330"/>
      <c r="F39" s="331"/>
      <c r="G39" s="332"/>
      <c r="H39" s="333"/>
      <c r="I39" s="347"/>
      <c r="J39" s="333"/>
      <c r="K39" s="334"/>
      <c r="L39" s="333"/>
      <c r="M39" s="339">
        <f>514</f>
        <v>514</v>
      </c>
      <c r="N39" s="336" t="s">
        <v>45</v>
      </c>
      <c r="O39" s="337"/>
      <c r="P39" s="570"/>
      <c r="Q39" s="671"/>
      <c r="R39" s="672"/>
      <c r="S39" s="673"/>
    </row>
    <row r="40" spans="1:19" ht="15" x14ac:dyDescent="0.25">
      <c r="A40" s="668" t="s">
        <v>794</v>
      </c>
      <c r="B40" s="669"/>
      <c r="C40" s="670"/>
      <c r="D40" s="338"/>
      <c r="E40" s="330"/>
      <c r="F40" s="331"/>
      <c r="G40" s="332"/>
      <c r="H40" s="333"/>
      <c r="I40" s="330">
        <v>15511</v>
      </c>
      <c r="J40" s="333" t="s">
        <v>42</v>
      </c>
      <c r="K40" s="334"/>
      <c r="L40" s="333"/>
      <c r="M40" s="339">
        <f>I40/1000</f>
        <v>15.510999999999999</v>
      </c>
      <c r="N40" s="336" t="s">
        <v>426</v>
      </c>
      <c r="O40" s="337"/>
      <c r="P40" s="570"/>
      <c r="Q40" s="671"/>
      <c r="R40" s="672"/>
      <c r="S40" s="673"/>
    </row>
    <row r="41" spans="1:19" ht="15" x14ac:dyDescent="0.25">
      <c r="A41" s="609" t="s">
        <v>353</v>
      </c>
      <c r="B41" s="610"/>
      <c r="C41" s="611"/>
      <c r="D41" s="338"/>
      <c r="E41" s="330"/>
      <c r="F41" s="331"/>
      <c r="G41" s="332"/>
      <c r="H41" s="333"/>
      <c r="I41" s="330"/>
      <c r="J41" s="333"/>
      <c r="K41" s="334"/>
      <c r="L41" s="333"/>
      <c r="M41" s="339">
        <f>M39</f>
        <v>514</v>
      </c>
      <c r="N41" s="336" t="s">
        <v>45</v>
      </c>
      <c r="O41" s="337"/>
      <c r="P41" s="570"/>
      <c r="Q41" s="671"/>
      <c r="R41" s="672"/>
      <c r="S41" s="673"/>
    </row>
    <row r="42" spans="1:19" x14ac:dyDescent="0.2">
      <c r="A42" s="668"/>
      <c r="B42" s="669"/>
      <c r="C42" s="670"/>
      <c r="D42" s="338"/>
      <c r="E42" s="330"/>
      <c r="F42" s="331"/>
      <c r="G42" s="332"/>
      <c r="H42" s="333"/>
      <c r="I42" s="347"/>
      <c r="J42" s="333"/>
      <c r="K42" s="334"/>
      <c r="L42" s="333"/>
      <c r="M42" s="343"/>
      <c r="N42" s="344"/>
      <c r="O42" s="337"/>
      <c r="P42" s="560"/>
      <c r="Q42" s="671"/>
      <c r="R42" s="672"/>
      <c r="S42" s="673"/>
    </row>
    <row r="43" spans="1:19" ht="15" x14ac:dyDescent="0.25">
      <c r="A43" s="694" t="s">
        <v>354</v>
      </c>
      <c r="B43" s="695"/>
      <c r="C43" s="696"/>
      <c r="D43" s="564" t="s">
        <v>730</v>
      </c>
      <c r="E43" s="330"/>
      <c r="F43" s="331"/>
      <c r="G43" s="332"/>
      <c r="H43" s="333"/>
      <c r="I43" s="347"/>
      <c r="J43" s="333"/>
      <c r="K43" s="334"/>
      <c r="L43" s="333"/>
      <c r="M43" s="343"/>
      <c r="N43" s="344"/>
      <c r="O43" s="337"/>
      <c r="P43" s="560"/>
      <c r="Q43" s="671"/>
      <c r="R43" s="672"/>
      <c r="S43" s="673"/>
    </row>
    <row r="44" spans="1:19" ht="15" x14ac:dyDescent="0.25">
      <c r="A44" s="668" t="s">
        <v>355</v>
      </c>
      <c r="B44" s="669"/>
      <c r="C44" s="670"/>
      <c r="D44" s="338"/>
      <c r="E44" s="330"/>
      <c r="F44" s="331"/>
      <c r="G44" s="332"/>
      <c r="H44" s="333"/>
      <c r="I44" s="347"/>
      <c r="J44" s="333"/>
      <c r="K44" s="334"/>
      <c r="L44" s="333"/>
      <c r="M44" s="339">
        <v>77</v>
      </c>
      <c r="N44" s="336" t="s">
        <v>45</v>
      </c>
      <c r="O44" s="337"/>
      <c r="P44" s="567" t="s">
        <v>744</v>
      </c>
      <c r="Q44" s="671"/>
      <c r="R44" s="672"/>
      <c r="S44" s="673"/>
    </row>
    <row r="45" spans="1:19" x14ac:dyDescent="0.2">
      <c r="A45" s="609" t="s">
        <v>356</v>
      </c>
      <c r="B45" s="610"/>
      <c r="C45" s="611"/>
      <c r="D45" s="338"/>
      <c r="E45" s="330"/>
      <c r="F45" s="331"/>
      <c r="G45" s="332"/>
      <c r="H45" s="333"/>
      <c r="I45" s="330"/>
      <c r="J45" s="333"/>
      <c r="K45" s="334"/>
      <c r="L45" s="333"/>
      <c r="M45" s="339">
        <v>113</v>
      </c>
      <c r="N45" s="336" t="s">
        <v>45</v>
      </c>
      <c r="O45" s="337"/>
      <c r="P45" s="560"/>
      <c r="Q45" s="671"/>
      <c r="R45" s="672"/>
      <c r="S45" s="673"/>
    </row>
    <row r="46" spans="1:19" x14ac:dyDescent="0.2">
      <c r="A46" s="668" t="s">
        <v>357</v>
      </c>
      <c r="B46" s="669"/>
      <c r="C46" s="670"/>
      <c r="D46" s="338"/>
      <c r="E46" s="330"/>
      <c r="F46" s="331"/>
      <c r="G46" s="332"/>
      <c r="H46" s="333"/>
      <c r="I46" s="347"/>
      <c r="J46" s="24"/>
      <c r="K46" s="334"/>
      <c r="L46" s="333"/>
      <c r="M46" s="339">
        <v>4</v>
      </c>
      <c r="N46" s="336" t="s">
        <v>131</v>
      </c>
      <c r="O46" s="337"/>
      <c r="P46" s="560"/>
      <c r="Q46" s="671"/>
      <c r="R46" s="672"/>
      <c r="S46" s="673"/>
    </row>
    <row r="47" spans="1:19" x14ac:dyDescent="0.2">
      <c r="A47" s="668" t="s">
        <v>358</v>
      </c>
      <c r="B47" s="669"/>
      <c r="C47" s="670"/>
      <c r="D47" s="338"/>
      <c r="E47" s="330"/>
      <c r="F47" s="331"/>
      <c r="G47" s="332"/>
      <c r="H47" s="333"/>
      <c r="I47" s="347"/>
      <c r="J47" s="333"/>
      <c r="K47" s="334"/>
      <c r="L47" s="333"/>
      <c r="M47" s="339">
        <v>7</v>
      </c>
      <c r="N47" s="336" t="s">
        <v>131</v>
      </c>
      <c r="O47" s="337"/>
      <c r="P47" s="560"/>
      <c r="Q47" s="671"/>
      <c r="R47" s="672"/>
      <c r="S47" s="673"/>
    </row>
    <row r="48" spans="1:19" x14ac:dyDescent="0.2">
      <c r="A48" s="668" t="s">
        <v>359</v>
      </c>
      <c r="B48" s="669"/>
      <c r="C48" s="670"/>
      <c r="D48" s="338"/>
      <c r="E48" s="330"/>
      <c r="F48" s="331"/>
      <c r="G48" s="332"/>
      <c r="H48" s="333"/>
      <c r="I48" s="347"/>
      <c r="J48" s="333"/>
      <c r="K48" s="334"/>
      <c r="L48" s="333"/>
      <c r="M48" s="339">
        <v>2</v>
      </c>
      <c r="N48" s="336" t="s">
        <v>131</v>
      </c>
      <c r="O48" s="337"/>
      <c r="P48" s="560"/>
      <c r="Q48" s="671"/>
      <c r="R48" s="672"/>
      <c r="S48" s="673"/>
    </row>
    <row r="49" spans="1:19" x14ac:dyDescent="0.2">
      <c r="A49" s="668" t="s">
        <v>360</v>
      </c>
      <c r="B49" s="669"/>
      <c r="C49" s="670"/>
      <c r="D49" s="338"/>
      <c r="E49" s="330"/>
      <c r="F49" s="331"/>
      <c r="G49" s="332"/>
      <c r="H49" s="333"/>
      <c r="I49" s="347"/>
      <c r="J49" s="333"/>
      <c r="K49" s="334"/>
      <c r="L49" s="333"/>
      <c r="M49" s="339">
        <v>1</v>
      </c>
      <c r="N49" s="336" t="s">
        <v>131</v>
      </c>
      <c r="O49" s="337"/>
      <c r="P49" s="560"/>
      <c r="Q49" s="671"/>
      <c r="R49" s="672"/>
      <c r="S49" s="673"/>
    </row>
    <row r="50" spans="1:19" x14ac:dyDescent="0.2">
      <c r="A50" s="668" t="s">
        <v>361</v>
      </c>
      <c r="B50" s="669"/>
      <c r="C50" s="670"/>
      <c r="D50" s="338"/>
      <c r="E50" s="330"/>
      <c r="F50" s="331"/>
      <c r="G50" s="281"/>
      <c r="H50" s="333"/>
      <c r="I50" s="347"/>
      <c r="J50" s="333"/>
      <c r="K50" s="334"/>
      <c r="L50" s="333"/>
      <c r="M50" s="339">
        <v>5</v>
      </c>
      <c r="N50" s="336" t="s">
        <v>131</v>
      </c>
      <c r="O50" s="337"/>
      <c r="P50" s="560"/>
      <c r="Q50" s="671"/>
      <c r="R50" s="672"/>
      <c r="S50" s="673"/>
    </row>
    <row r="51" spans="1:19" x14ac:dyDescent="0.2">
      <c r="A51" s="609" t="s">
        <v>362</v>
      </c>
      <c r="B51" s="610"/>
      <c r="C51" s="611"/>
      <c r="D51" s="338"/>
      <c r="E51" s="330"/>
      <c r="F51" s="331"/>
      <c r="G51" s="332"/>
      <c r="H51" s="333"/>
      <c r="I51" s="330"/>
      <c r="J51" s="333"/>
      <c r="K51" s="334"/>
      <c r="L51" s="333"/>
      <c r="M51" s="339">
        <v>2</v>
      </c>
      <c r="N51" s="336" t="s">
        <v>131</v>
      </c>
      <c r="O51" s="337"/>
      <c r="P51" s="560"/>
      <c r="Q51" s="671"/>
      <c r="R51" s="672"/>
      <c r="S51" s="673"/>
    </row>
    <row r="52" spans="1:19" x14ac:dyDescent="0.2">
      <c r="A52" s="668"/>
      <c r="B52" s="669"/>
      <c r="C52" s="670"/>
      <c r="D52" s="338"/>
      <c r="E52" s="330"/>
      <c r="F52" s="331"/>
      <c r="G52" s="332"/>
      <c r="H52" s="333"/>
      <c r="I52" s="330"/>
      <c r="J52" s="333"/>
      <c r="K52" s="334"/>
      <c r="L52" s="333"/>
      <c r="M52" s="343"/>
      <c r="N52" s="344"/>
      <c r="O52" s="337"/>
      <c r="P52" s="560"/>
      <c r="Q52" s="671"/>
      <c r="R52" s="672"/>
      <c r="S52" s="673"/>
    </row>
    <row r="53" spans="1:19" x14ac:dyDescent="0.2">
      <c r="A53" s="694" t="s">
        <v>363</v>
      </c>
      <c r="B53" s="695"/>
      <c r="C53" s="696"/>
      <c r="D53" s="338"/>
      <c r="E53" s="330"/>
      <c r="F53" s="331"/>
      <c r="G53" s="332"/>
      <c r="H53" s="333"/>
      <c r="I53" s="330"/>
      <c r="J53" s="333"/>
      <c r="K53" s="349"/>
      <c r="L53" s="24"/>
      <c r="M53" s="343"/>
      <c r="N53" s="344"/>
      <c r="O53" s="337"/>
      <c r="P53" s="560"/>
      <c r="Q53" s="671"/>
      <c r="R53" s="672"/>
      <c r="S53" s="673"/>
    </row>
    <row r="54" spans="1:19" x14ac:dyDescent="0.2">
      <c r="A54" s="694" t="s">
        <v>364</v>
      </c>
      <c r="B54" s="695"/>
      <c r="C54" s="696"/>
      <c r="D54" s="338"/>
      <c r="E54" s="330"/>
      <c r="F54" s="331"/>
      <c r="G54" s="332"/>
      <c r="H54" s="333"/>
      <c r="I54" s="330"/>
      <c r="J54" s="333"/>
      <c r="K54" s="60"/>
      <c r="L54" s="333"/>
      <c r="M54" s="341"/>
      <c r="N54" s="33"/>
      <c r="O54" s="337"/>
      <c r="P54" s="560"/>
      <c r="Q54" s="671"/>
      <c r="R54" s="672"/>
      <c r="S54" s="673"/>
    </row>
    <row r="55" spans="1:19" x14ac:dyDescent="0.2">
      <c r="A55" s="668"/>
      <c r="B55" s="669"/>
      <c r="C55" s="670"/>
      <c r="D55" s="338"/>
      <c r="E55" s="330"/>
      <c r="F55" s="331"/>
      <c r="G55" s="332"/>
      <c r="H55" s="333"/>
      <c r="I55" s="330"/>
      <c r="J55" s="333"/>
      <c r="K55" s="334"/>
      <c r="L55" s="333"/>
      <c r="M55" s="343"/>
      <c r="N55" s="344"/>
      <c r="O55" s="337"/>
      <c r="P55" s="560"/>
      <c r="Q55" s="671"/>
      <c r="R55" s="672"/>
      <c r="S55" s="673"/>
    </row>
    <row r="56" spans="1:19" ht="15" x14ac:dyDescent="0.25">
      <c r="A56" s="691" t="s">
        <v>441</v>
      </c>
      <c r="B56" s="692"/>
      <c r="C56" s="693"/>
      <c r="D56" s="338"/>
      <c r="E56" s="330"/>
      <c r="F56" s="331"/>
      <c r="G56" s="332"/>
      <c r="H56" s="333"/>
      <c r="I56" s="330"/>
      <c r="J56" s="333"/>
      <c r="K56" s="334"/>
      <c r="L56" s="333"/>
      <c r="M56" s="343"/>
      <c r="N56" s="344"/>
      <c r="O56" s="337"/>
      <c r="P56" s="567" t="s">
        <v>744</v>
      </c>
      <c r="Q56" s="671" t="s">
        <v>442</v>
      </c>
      <c r="R56" s="672"/>
      <c r="S56" s="673"/>
    </row>
    <row r="57" spans="1:19" x14ac:dyDescent="0.2">
      <c r="A57" s="668"/>
      <c r="B57" s="669"/>
      <c r="C57" s="670"/>
      <c r="D57" s="22"/>
      <c r="E57" s="330"/>
      <c r="F57" s="331"/>
      <c r="G57" s="332"/>
      <c r="H57" s="333"/>
      <c r="I57" s="330"/>
      <c r="J57" s="24"/>
      <c r="K57" s="334"/>
      <c r="L57" s="333"/>
      <c r="M57" s="343"/>
      <c r="N57" s="344"/>
      <c r="O57" s="337"/>
      <c r="P57" s="560"/>
      <c r="Q57" s="671"/>
      <c r="R57" s="672"/>
      <c r="S57" s="673"/>
    </row>
    <row r="58" spans="1:19" x14ac:dyDescent="0.2">
      <c r="A58" s="668"/>
      <c r="B58" s="669"/>
      <c r="C58" s="670"/>
      <c r="D58" s="338"/>
      <c r="E58" s="330"/>
      <c r="F58" s="331"/>
      <c r="G58" s="332"/>
      <c r="H58" s="333"/>
      <c r="I58" s="347"/>
      <c r="J58" s="333"/>
      <c r="K58" s="334"/>
      <c r="L58" s="333"/>
      <c r="M58" s="343"/>
      <c r="N58" s="344"/>
      <c r="O58" s="337"/>
      <c r="P58" s="560"/>
      <c r="Q58" s="671"/>
      <c r="R58" s="672"/>
      <c r="S58" s="673"/>
    </row>
    <row r="59" spans="1:19" x14ac:dyDescent="0.2">
      <c r="A59" s="668"/>
      <c r="B59" s="669"/>
      <c r="C59" s="670"/>
      <c r="D59" s="338"/>
      <c r="E59" s="330"/>
      <c r="F59" s="331"/>
      <c r="G59" s="332"/>
      <c r="H59" s="333"/>
      <c r="I59" s="330"/>
      <c r="J59" s="333"/>
      <c r="K59" s="349"/>
      <c r="L59" s="24"/>
      <c r="M59" s="343"/>
      <c r="N59" s="344"/>
      <c r="O59" s="337"/>
      <c r="P59" s="560"/>
      <c r="Q59" s="671"/>
      <c r="R59" s="672"/>
      <c r="S59" s="673"/>
    </row>
    <row r="60" spans="1:19" x14ac:dyDescent="0.2">
      <c r="A60" s="689"/>
      <c r="B60" s="689"/>
      <c r="C60" s="690"/>
      <c r="D60" s="350"/>
      <c r="E60" s="334"/>
      <c r="F60" s="331"/>
      <c r="G60" s="331"/>
      <c r="H60" s="340"/>
      <c r="I60" s="334"/>
      <c r="J60" s="340"/>
      <c r="K60" s="60"/>
      <c r="L60" s="340"/>
      <c r="M60" s="351"/>
      <c r="N60" s="65"/>
      <c r="O60" s="352"/>
      <c r="P60" s="557"/>
      <c r="Q60" s="671"/>
      <c r="R60" s="672"/>
      <c r="S60" s="673"/>
    </row>
    <row r="61" spans="1:19" x14ac:dyDescent="0.2">
      <c r="A61" s="680"/>
      <c r="B61" s="681"/>
      <c r="C61" s="682"/>
      <c r="D61" s="63"/>
      <c r="E61" s="323"/>
      <c r="F61" s="324"/>
      <c r="G61" s="325"/>
      <c r="H61" s="326"/>
      <c r="I61" s="323"/>
      <c r="J61" s="326"/>
      <c r="K61" s="353"/>
      <c r="L61" s="326"/>
      <c r="M61" s="323"/>
      <c r="N61" s="326"/>
      <c r="O61" s="329"/>
      <c r="P61" s="558"/>
      <c r="Q61" s="671"/>
      <c r="R61" s="672"/>
      <c r="S61" s="673"/>
    </row>
    <row r="62" spans="1:19" x14ac:dyDescent="0.2">
      <c r="A62" s="668"/>
      <c r="B62" s="669"/>
      <c r="C62" s="670"/>
      <c r="D62" s="338"/>
      <c r="E62" s="330"/>
      <c r="F62" s="331"/>
      <c r="G62" s="332"/>
      <c r="H62" s="333"/>
      <c r="I62" s="330"/>
      <c r="J62" s="333"/>
      <c r="K62" s="334"/>
      <c r="L62" s="333"/>
      <c r="M62" s="330"/>
      <c r="N62" s="333"/>
      <c r="O62" s="337"/>
      <c r="P62" s="560"/>
      <c r="Q62" s="671"/>
      <c r="R62" s="672"/>
      <c r="S62" s="673"/>
    </row>
    <row r="63" spans="1:19" x14ac:dyDescent="0.2">
      <c r="A63" s="668"/>
      <c r="B63" s="669"/>
      <c r="C63" s="670"/>
      <c r="D63" s="338"/>
      <c r="E63" s="330"/>
      <c r="F63" s="331"/>
      <c r="G63" s="332"/>
      <c r="H63" s="333"/>
      <c r="I63" s="330"/>
      <c r="J63" s="333"/>
      <c r="K63" s="334"/>
      <c r="L63" s="333"/>
      <c r="M63" s="330"/>
      <c r="N63" s="333"/>
      <c r="O63" s="337"/>
      <c r="P63" s="560"/>
      <c r="Q63" s="671"/>
      <c r="R63" s="672"/>
      <c r="S63" s="673"/>
    </row>
    <row r="64" spans="1:19" x14ac:dyDescent="0.2">
      <c r="A64" s="668"/>
      <c r="B64" s="669"/>
      <c r="C64" s="670"/>
      <c r="D64" s="338"/>
      <c r="E64" s="330"/>
      <c r="F64" s="331"/>
      <c r="G64" s="332"/>
      <c r="H64" s="333"/>
      <c r="I64" s="330"/>
      <c r="J64" s="333"/>
      <c r="K64" s="334"/>
      <c r="L64" s="24"/>
      <c r="M64" s="330"/>
      <c r="N64" s="333"/>
      <c r="O64" s="337"/>
      <c r="P64" s="560"/>
      <c r="Q64" s="671"/>
      <c r="R64" s="672"/>
      <c r="S64" s="673"/>
    </row>
    <row r="65" spans="1:19" x14ac:dyDescent="0.2">
      <c r="A65" s="668"/>
      <c r="B65" s="669"/>
      <c r="C65" s="670"/>
      <c r="D65" s="338"/>
      <c r="E65" s="330"/>
      <c r="F65" s="331"/>
      <c r="G65" s="332"/>
      <c r="H65" s="333"/>
      <c r="I65" s="330"/>
      <c r="J65" s="333"/>
      <c r="K65" s="60"/>
      <c r="L65" s="333"/>
      <c r="M65" s="341"/>
      <c r="N65" s="33"/>
      <c r="O65" s="283"/>
      <c r="P65" s="559"/>
      <c r="Q65" s="671"/>
      <c r="R65" s="672"/>
      <c r="S65" s="673"/>
    </row>
    <row r="66" spans="1:19" x14ac:dyDescent="0.2">
      <c r="A66" s="668"/>
      <c r="B66" s="669"/>
      <c r="C66" s="670"/>
      <c r="D66" s="338"/>
      <c r="E66" s="330"/>
      <c r="F66" s="331"/>
      <c r="G66" s="332"/>
      <c r="H66" s="333"/>
      <c r="I66" s="330"/>
      <c r="J66" s="333"/>
      <c r="K66" s="334"/>
      <c r="L66" s="333"/>
      <c r="M66" s="343"/>
      <c r="N66" s="344"/>
      <c r="O66" s="337"/>
      <c r="P66" s="560"/>
      <c r="Q66" s="671"/>
      <c r="R66" s="672"/>
      <c r="S66" s="673"/>
    </row>
    <row r="67" spans="1:19" x14ac:dyDescent="0.2">
      <c r="A67" s="612"/>
      <c r="B67" s="613"/>
      <c r="C67" s="614"/>
      <c r="D67" s="338"/>
      <c r="E67" s="330"/>
      <c r="F67" s="331"/>
      <c r="G67" s="332"/>
      <c r="H67" s="333"/>
      <c r="I67" s="330"/>
      <c r="J67" s="333"/>
      <c r="K67" s="334"/>
      <c r="L67" s="333"/>
      <c r="M67" s="343"/>
      <c r="N67" s="344"/>
      <c r="O67" s="337"/>
      <c r="P67" s="560"/>
      <c r="Q67" s="671"/>
      <c r="R67" s="672"/>
      <c r="S67" s="673"/>
    </row>
    <row r="68" spans="1:19" x14ac:dyDescent="0.2">
      <c r="A68" s="609"/>
      <c r="B68" s="610"/>
      <c r="C68" s="611"/>
      <c r="D68" s="338"/>
      <c r="E68" s="330"/>
      <c r="F68" s="331"/>
      <c r="G68" s="332"/>
      <c r="H68" s="333"/>
      <c r="I68" s="330"/>
      <c r="J68" s="333"/>
      <c r="K68" s="334"/>
      <c r="L68" s="333"/>
      <c r="M68" s="343"/>
      <c r="N68" s="344"/>
      <c r="O68" s="337"/>
      <c r="P68" s="560"/>
      <c r="Q68" s="671"/>
      <c r="R68" s="672"/>
      <c r="S68" s="673"/>
    </row>
    <row r="69" spans="1:19" x14ac:dyDescent="0.2">
      <c r="A69" s="668"/>
      <c r="B69" s="669"/>
      <c r="C69" s="670"/>
      <c r="D69" s="22"/>
      <c r="E69" s="330"/>
      <c r="F69" s="331"/>
      <c r="G69" s="332"/>
      <c r="H69" s="333"/>
      <c r="I69" s="330"/>
      <c r="J69" s="24"/>
      <c r="K69" s="346"/>
      <c r="L69" s="24"/>
      <c r="M69" s="343"/>
      <c r="N69" s="344"/>
      <c r="O69" s="337"/>
      <c r="P69" s="560"/>
      <c r="Q69" s="671"/>
      <c r="R69" s="672"/>
      <c r="S69" s="673"/>
    </row>
    <row r="70" spans="1:19" x14ac:dyDescent="0.2">
      <c r="A70" s="668"/>
      <c r="B70" s="669"/>
      <c r="C70" s="670"/>
      <c r="D70" s="22"/>
      <c r="E70" s="330"/>
      <c r="F70" s="331"/>
      <c r="G70" s="332"/>
      <c r="H70" s="333"/>
      <c r="I70" s="330"/>
      <c r="J70" s="333"/>
      <c r="K70" s="334"/>
      <c r="L70" s="333"/>
      <c r="M70" s="343"/>
      <c r="N70" s="344"/>
      <c r="O70" s="337"/>
      <c r="P70" s="560"/>
      <c r="Q70" s="671"/>
      <c r="R70" s="672"/>
      <c r="S70" s="673"/>
    </row>
    <row r="71" spans="1:19" x14ac:dyDescent="0.2">
      <c r="A71" s="668"/>
      <c r="B71" s="669"/>
      <c r="C71" s="670"/>
      <c r="D71" s="338"/>
      <c r="E71" s="330"/>
      <c r="F71" s="331"/>
      <c r="G71" s="332"/>
      <c r="H71" s="333"/>
      <c r="I71" s="347"/>
      <c r="J71" s="333"/>
      <c r="K71" s="334"/>
      <c r="L71" s="333"/>
      <c r="M71" s="343"/>
      <c r="N71" s="344"/>
      <c r="O71" s="337"/>
      <c r="P71" s="560"/>
      <c r="Q71" s="671"/>
      <c r="R71" s="672"/>
      <c r="S71" s="673"/>
    </row>
    <row r="72" spans="1:19" x14ac:dyDescent="0.2">
      <c r="A72" s="609"/>
      <c r="B72" s="610"/>
      <c r="C72" s="611"/>
      <c r="D72" s="338"/>
      <c r="E72" s="330"/>
      <c r="F72" s="331"/>
      <c r="G72" s="332"/>
      <c r="H72" s="333"/>
      <c r="I72" s="330"/>
      <c r="J72" s="333"/>
      <c r="K72" s="334"/>
      <c r="L72" s="333"/>
      <c r="M72" s="343"/>
      <c r="N72" s="344"/>
      <c r="O72" s="337"/>
      <c r="P72" s="560"/>
      <c r="Q72" s="671"/>
      <c r="R72" s="672"/>
      <c r="S72" s="673"/>
    </row>
    <row r="73" spans="1:19" x14ac:dyDescent="0.2">
      <c r="A73" s="668"/>
      <c r="B73" s="669"/>
      <c r="C73" s="670"/>
      <c r="D73" s="338"/>
      <c r="E73" s="330"/>
      <c r="F73" s="331"/>
      <c r="G73" s="332"/>
      <c r="H73" s="333"/>
      <c r="I73" s="330"/>
      <c r="J73" s="333"/>
      <c r="K73" s="334"/>
      <c r="L73" s="333"/>
      <c r="M73" s="343"/>
      <c r="N73" s="344"/>
      <c r="O73" s="337"/>
      <c r="P73" s="560"/>
      <c r="Q73" s="671"/>
      <c r="R73" s="672"/>
      <c r="S73" s="673"/>
    </row>
    <row r="74" spans="1:19" x14ac:dyDescent="0.2">
      <c r="A74" s="668"/>
      <c r="B74" s="669"/>
      <c r="C74" s="670"/>
      <c r="D74" s="338"/>
      <c r="E74" s="330"/>
      <c r="F74" s="331"/>
      <c r="G74" s="332"/>
      <c r="H74" s="333"/>
      <c r="I74" s="330"/>
      <c r="J74" s="333"/>
      <c r="K74" s="334"/>
      <c r="L74" s="333"/>
      <c r="M74" s="343"/>
      <c r="N74" s="344"/>
      <c r="O74" s="337"/>
      <c r="P74" s="560"/>
      <c r="Q74" s="671"/>
      <c r="R74" s="672"/>
      <c r="S74" s="673"/>
    </row>
    <row r="75" spans="1:19" x14ac:dyDescent="0.2">
      <c r="A75" s="668"/>
      <c r="B75" s="669"/>
      <c r="C75" s="670"/>
      <c r="D75" s="338"/>
      <c r="E75" s="330"/>
      <c r="F75" s="331"/>
      <c r="G75" s="332"/>
      <c r="H75" s="333"/>
      <c r="I75" s="330"/>
      <c r="J75" s="333"/>
      <c r="K75" s="334"/>
      <c r="L75" s="333"/>
      <c r="M75" s="343"/>
      <c r="N75" s="344"/>
      <c r="O75" s="337"/>
      <c r="P75" s="560"/>
      <c r="Q75" s="671"/>
      <c r="R75" s="672"/>
      <c r="S75" s="673"/>
    </row>
    <row r="76" spans="1:19" x14ac:dyDescent="0.2">
      <c r="A76" s="668"/>
      <c r="B76" s="669"/>
      <c r="C76" s="670"/>
      <c r="D76" s="338"/>
      <c r="E76" s="330"/>
      <c r="F76" s="331"/>
      <c r="G76" s="332"/>
      <c r="H76" s="333"/>
      <c r="I76" s="347"/>
      <c r="J76" s="333"/>
      <c r="K76" s="334"/>
      <c r="L76" s="333"/>
      <c r="M76" s="343"/>
      <c r="N76" s="344"/>
      <c r="O76" s="337"/>
      <c r="P76" s="560"/>
      <c r="Q76" s="671"/>
      <c r="R76" s="672"/>
      <c r="S76" s="673"/>
    </row>
    <row r="77" spans="1:19" x14ac:dyDescent="0.2">
      <c r="A77" s="686"/>
      <c r="B77" s="687"/>
      <c r="C77" s="688"/>
      <c r="D77" s="338"/>
      <c r="E77" s="330"/>
      <c r="F77" s="331"/>
      <c r="G77" s="332"/>
      <c r="H77" s="333"/>
      <c r="I77" s="330"/>
      <c r="J77" s="333"/>
      <c r="K77" s="334"/>
      <c r="L77" s="333"/>
      <c r="M77" s="343"/>
      <c r="N77" s="344"/>
      <c r="O77" s="337"/>
      <c r="P77" s="560"/>
      <c r="Q77" s="671"/>
      <c r="R77" s="672"/>
      <c r="S77" s="673"/>
    </row>
    <row r="78" spans="1:19" x14ac:dyDescent="0.2">
      <c r="A78" s="683"/>
      <c r="B78" s="684"/>
      <c r="C78" s="685"/>
      <c r="D78" s="338"/>
      <c r="E78" s="330"/>
      <c r="F78" s="331"/>
      <c r="G78" s="332"/>
      <c r="H78" s="333"/>
      <c r="I78" s="330"/>
      <c r="J78" s="333"/>
      <c r="K78" s="334"/>
      <c r="L78" s="333"/>
      <c r="M78" s="343"/>
      <c r="N78" s="344"/>
      <c r="O78" s="337"/>
      <c r="P78" s="560"/>
      <c r="Q78" s="671"/>
      <c r="R78" s="672"/>
      <c r="S78" s="673"/>
    </row>
    <row r="79" spans="1:19" x14ac:dyDescent="0.2">
      <c r="A79" s="683"/>
      <c r="B79" s="684"/>
      <c r="C79" s="685"/>
      <c r="D79" s="338"/>
      <c r="E79" s="330"/>
      <c r="F79" s="331"/>
      <c r="G79" s="332"/>
      <c r="H79" s="333"/>
      <c r="I79" s="330"/>
      <c r="J79" s="333"/>
      <c r="K79" s="334"/>
      <c r="L79" s="333"/>
      <c r="M79" s="343"/>
      <c r="N79" s="344"/>
      <c r="O79" s="337"/>
      <c r="P79" s="560"/>
      <c r="Q79" s="671"/>
      <c r="R79" s="672"/>
      <c r="S79" s="673"/>
    </row>
    <row r="80" spans="1:19" x14ac:dyDescent="0.2">
      <c r="A80" s="683"/>
      <c r="B80" s="684"/>
      <c r="C80" s="685"/>
      <c r="D80" s="338"/>
      <c r="E80" s="330"/>
      <c r="F80" s="331"/>
      <c r="G80" s="332"/>
      <c r="H80" s="333"/>
      <c r="I80" s="330"/>
      <c r="J80" s="333"/>
      <c r="K80" s="334"/>
      <c r="L80" s="333"/>
      <c r="M80" s="343"/>
      <c r="N80" s="344"/>
      <c r="O80" s="337"/>
      <c r="P80" s="560"/>
      <c r="Q80" s="671"/>
      <c r="R80" s="672"/>
      <c r="S80" s="673"/>
    </row>
    <row r="81" spans="1:19" x14ac:dyDescent="0.2">
      <c r="A81" s="683"/>
      <c r="B81" s="684"/>
      <c r="C81" s="685"/>
      <c r="D81" s="338"/>
      <c r="E81" s="330"/>
      <c r="F81" s="331"/>
      <c r="G81" s="332"/>
      <c r="H81" s="333"/>
      <c r="I81" s="330"/>
      <c r="J81" s="333"/>
      <c r="K81" s="334"/>
      <c r="L81" s="333"/>
      <c r="M81" s="343"/>
      <c r="N81" s="344"/>
      <c r="O81" s="337"/>
      <c r="P81" s="560"/>
      <c r="Q81" s="671"/>
      <c r="R81" s="672"/>
      <c r="S81" s="673"/>
    </row>
    <row r="82" spans="1:19" x14ac:dyDescent="0.2">
      <c r="A82" s="680"/>
      <c r="B82" s="681"/>
      <c r="C82" s="682"/>
      <c r="D82" s="338"/>
      <c r="E82" s="330"/>
      <c r="F82" s="331"/>
      <c r="G82" s="332"/>
      <c r="H82" s="333"/>
      <c r="I82" s="330"/>
      <c r="J82" s="333"/>
      <c r="K82" s="334"/>
      <c r="L82" s="333"/>
      <c r="M82" s="343"/>
      <c r="N82" s="344"/>
      <c r="O82" s="337"/>
      <c r="P82" s="560"/>
      <c r="Q82" s="671"/>
      <c r="R82" s="672"/>
      <c r="S82" s="673"/>
    </row>
    <row r="83" spans="1:19" x14ac:dyDescent="0.2">
      <c r="A83" s="609"/>
      <c r="B83" s="610"/>
      <c r="C83" s="611"/>
      <c r="D83" s="338"/>
      <c r="E83" s="330"/>
      <c r="F83" s="331"/>
      <c r="G83" s="332"/>
      <c r="H83" s="333"/>
      <c r="I83" s="330"/>
      <c r="J83" s="333"/>
      <c r="K83" s="334"/>
      <c r="L83" s="333"/>
      <c r="M83" s="343"/>
      <c r="N83" s="344"/>
      <c r="O83" s="337"/>
      <c r="P83" s="560"/>
      <c r="Q83" s="671"/>
      <c r="R83" s="672"/>
      <c r="S83" s="673"/>
    </row>
    <row r="84" spans="1:19" x14ac:dyDescent="0.2">
      <c r="A84" s="668"/>
      <c r="B84" s="669"/>
      <c r="C84" s="670"/>
      <c r="D84" s="22"/>
      <c r="E84" s="330"/>
      <c r="F84" s="331"/>
      <c r="G84" s="332"/>
      <c r="H84" s="333"/>
      <c r="I84" s="330"/>
      <c r="J84" s="333"/>
      <c r="K84" s="334"/>
      <c r="L84" s="333"/>
      <c r="M84" s="343"/>
      <c r="N84" s="344"/>
      <c r="O84" s="337"/>
      <c r="P84" s="560"/>
      <c r="Q84" s="671"/>
      <c r="R84" s="672"/>
      <c r="S84" s="673"/>
    </row>
    <row r="85" spans="1:19" x14ac:dyDescent="0.2">
      <c r="A85" s="668"/>
      <c r="B85" s="669"/>
      <c r="C85" s="670"/>
      <c r="D85" s="338"/>
      <c r="E85" s="330"/>
      <c r="F85" s="331"/>
      <c r="G85" s="332"/>
      <c r="H85" s="333"/>
      <c r="I85" s="330"/>
      <c r="J85" s="333"/>
      <c r="K85" s="334"/>
      <c r="L85" s="24"/>
      <c r="M85" s="343"/>
      <c r="N85" s="344"/>
      <c r="O85" s="337"/>
      <c r="P85" s="560"/>
      <c r="Q85" s="671"/>
      <c r="R85" s="672"/>
      <c r="S85" s="673"/>
    </row>
    <row r="86" spans="1:19" x14ac:dyDescent="0.2">
      <c r="A86" s="668"/>
      <c r="B86" s="669"/>
      <c r="C86" s="670"/>
      <c r="D86" s="338"/>
      <c r="E86" s="330"/>
      <c r="F86" s="331"/>
      <c r="G86" s="332"/>
      <c r="H86" s="333"/>
      <c r="I86" s="330"/>
      <c r="J86" s="333"/>
      <c r="K86" s="60"/>
      <c r="L86" s="333"/>
      <c r="M86" s="341"/>
      <c r="N86" s="33"/>
      <c r="O86" s="337"/>
      <c r="P86" s="560"/>
      <c r="Q86" s="671"/>
      <c r="R86" s="672"/>
      <c r="S86" s="673"/>
    </row>
    <row r="87" spans="1:19" x14ac:dyDescent="0.2">
      <c r="A87" s="668"/>
      <c r="B87" s="669"/>
      <c r="C87" s="670"/>
      <c r="D87" s="338"/>
      <c r="E87" s="330"/>
      <c r="F87" s="331"/>
      <c r="G87" s="332"/>
      <c r="H87" s="333"/>
      <c r="I87" s="330"/>
      <c r="J87" s="333"/>
      <c r="K87" s="334"/>
      <c r="L87" s="333"/>
      <c r="M87" s="343"/>
      <c r="N87" s="344"/>
      <c r="O87" s="337"/>
      <c r="P87" s="560"/>
      <c r="Q87" s="671"/>
      <c r="R87" s="672"/>
      <c r="S87" s="673"/>
    </row>
    <row r="88" spans="1:19" x14ac:dyDescent="0.2">
      <c r="A88" s="612"/>
      <c r="B88" s="613"/>
      <c r="C88" s="614"/>
      <c r="D88" s="338"/>
      <c r="E88" s="330"/>
      <c r="F88" s="331"/>
      <c r="G88" s="332"/>
      <c r="H88" s="333"/>
      <c r="I88" s="330"/>
      <c r="J88" s="333"/>
      <c r="K88" s="334"/>
      <c r="L88" s="333"/>
      <c r="M88" s="343"/>
      <c r="N88" s="344"/>
      <c r="O88" s="337"/>
      <c r="P88" s="560"/>
      <c r="Q88" s="671"/>
      <c r="R88" s="672"/>
      <c r="S88" s="673"/>
    </row>
    <row r="89" spans="1:19" x14ac:dyDescent="0.2">
      <c r="A89" s="609"/>
      <c r="B89" s="610"/>
      <c r="C89" s="611"/>
      <c r="D89" s="338"/>
      <c r="E89" s="330"/>
      <c r="F89" s="331"/>
      <c r="G89" s="332"/>
      <c r="H89" s="333"/>
      <c r="I89" s="330"/>
      <c r="J89" s="333"/>
      <c r="K89" s="334"/>
      <c r="L89" s="333"/>
      <c r="M89" s="343"/>
      <c r="N89" s="344"/>
      <c r="O89" s="337"/>
      <c r="P89" s="560"/>
      <c r="Q89" s="671"/>
      <c r="R89" s="672"/>
      <c r="S89" s="673"/>
    </row>
    <row r="90" spans="1:19" x14ac:dyDescent="0.2">
      <c r="A90" s="668"/>
      <c r="B90" s="669"/>
      <c r="C90" s="670"/>
      <c r="D90" s="338"/>
      <c r="E90" s="330"/>
      <c r="F90" s="331"/>
      <c r="G90" s="332"/>
      <c r="H90" s="333"/>
      <c r="I90" s="347"/>
      <c r="J90" s="333"/>
      <c r="K90" s="334"/>
      <c r="L90" s="333"/>
      <c r="M90" s="343"/>
      <c r="N90" s="344"/>
      <c r="O90" s="337"/>
      <c r="P90" s="560"/>
      <c r="Q90" s="671"/>
      <c r="R90" s="672"/>
      <c r="S90" s="673"/>
    </row>
    <row r="91" spans="1:19" x14ac:dyDescent="0.2">
      <c r="A91" s="668"/>
      <c r="B91" s="669"/>
      <c r="C91" s="670"/>
      <c r="D91" s="338"/>
      <c r="E91" s="330"/>
      <c r="F91" s="331"/>
      <c r="G91" s="332"/>
      <c r="H91" s="333"/>
      <c r="I91" s="330"/>
      <c r="J91" s="333"/>
      <c r="K91" s="334"/>
      <c r="L91" s="333"/>
      <c r="M91" s="343"/>
      <c r="N91" s="344"/>
      <c r="O91" s="337"/>
      <c r="P91" s="560"/>
      <c r="Q91" s="671"/>
      <c r="R91" s="672"/>
      <c r="S91" s="673"/>
    </row>
    <row r="92" spans="1:19" x14ac:dyDescent="0.2">
      <c r="A92" s="609"/>
      <c r="B92" s="610"/>
      <c r="C92" s="611"/>
      <c r="D92" s="338"/>
      <c r="E92" s="330"/>
      <c r="F92" s="331"/>
      <c r="G92" s="332"/>
      <c r="H92" s="333"/>
      <c r="I92" s="330"/>
      <c r="J92" s="333"/>
      <c r="K92" s="334"/>
      <c r="L92" s="333"/>
      <c r="M92" s="343"/>
      <c r="N92" s="344"/>
      <c r="O92" s="337"/>
      <c r="P92" s="560"/>
      <c r="Q92" s="671"/>
      <c r="R92" s="672"/>
      <c r="S92" s="673"/>
    </row>
    <row r="93" spans="1:19" x14ac:dyDescent="0.2">
      <c r="A93" s="668"/>
      <c r="B93" s="669"/>
      <c r="C93" s="670"/>
      <c r="D93" s="338"/>
      <c r="E93" s="330"/>
      <c r="F93" s="331"/>
      <c r="G93" s="332"/>
      <c r="H93" s="333"/>
      <c r="I93" s="347"/>
      <c r="J93" s="333"/>
      <c r="K93" s="334"/>
      <c r="L93" s="333"/>
      <c r="M93" s="343"/>
      <c r="N93" s="344"/>
      <c r="O93" s="337"/>
      <c r="P93" s="560"/>
      <c r="Q93" s="671"/>
      <c r="R93" s="672"/>
      <c r="S93" s="673"/>
    </row>
    <row r="94" spans="1:19" x14ac:dyDescent="0.2">
      <c r="A94" s="668"/>
      <c r="B94" s="669"/>
      <c r="C94" s="670"/>
      <c r="D94" s="338"/>
      <c r="E94" s="330"/>
      <c r="F94" s="331"/>
      <c r="G94" s="332"/>
      <c r="H94" s="333"/>
      <c r="I94" s="347"/>
      <c r="J94" s="333"/>
      <c r="K94" s="334"/>
      <c r="L94" s="333"/>
      <c r="M94" s="343"/>
      <c r="N94" s="344"/>
      <c r="O94" s="337"/>
      <c r="P94" s="560"/>
      <c r="Q94" s="671"/>
      <c r="R94" s="672"/>
      <c r="S94" s="673"/>
    </row>
    <row r="95" spans="1:19" x14ac:dyDescent="0.2">
      <c r="A95" s="668"/>
      <c r="B95" s="669"/>
      <c r="C95" s="670"/>
      <c r="D95" s="338"/>
      <c r="E95" s="330"/>
      <c r="F95" s="331"/>
      <c r="G95" s="332"/>
      <c r="H95" s="333"/>
      <c r="I95" s="347"/>
      <c r="J95" s="333"/>
      <c r="K95" s="334"/>
      <c r="L95" s="333"/>
      <c r="M95" s="343"/>
      <c r="N95" s="344"/>
      <c r="O95" s="337"/>
      <c r="P95" s="560"/>
      <c r="Q95" s="671"/>
      <c r="R95" s="672"/>
      <c r="S95" s="673"/>
    </row>
    <row r="96" spans="1:19" x14ac:dyDescent="0.2">
      <c r="A96" s="609"/>
      <c r="B96" s="610"/>
      <c r="C96" s="611"/>
      <c r="D96" s="338"/>
      <c r="E96" s="330"/>
      <c r="F96" s="331"/>
      <c r="G96" s="332"/>
      <c r="H96" s="333"/>
      <c r="I96" s="330"/>
      <c r="J96" s="333"/>
      <c r="K96" s="334"/>
      <c r="L96" s="333"/>
      <c r="M96" s="343"/>
      <c r="N96" s="344"/>
      <c r="O96" s="337"/>
      <c r="P96" s="560"/>
      <c r="Q96" s="671"/>
      <c r="R96" s="672"/>
      <c r="S96" s="673"/>
    </row>
    <row r="97" spans="1:19" x14ac:dyDescent="0.2">
      <c r="A97" s="668"/>
      <c r="B97" s="669"/>
      <c r="C97" s="670"/>
      <c r="D97" s="338"/>
      <c r="E97" s="330"/>
      <c r="F97" s="331"/>
      <c r="G97" s="332"/>
      <c r="H97" s="333"/>
      <c r="I97" s="347"/>
      <c r="J97" s="24"/>
      <c r="K97" s="334"/>
      <c r="L97" s="333"/>
      <c r="M97" s="343"/>
      <c r="N97" s="344"/>
      <c r="O97" s="337"/>
      <c r="P97" s="560"/>
      <c r="Q97" s="671"/>
      <c r="R97" s="672"/>
      <c r="S97" s="673"/>
    </row>
    <row r="98" spans="1:19" x14ac:dyDescent="0.2">
      <c r="A98" s="668"/>
      <c r="B98" s="669"/>
      <c r="C98" s="670"/>
      <c r="D98" s="338"/>
      <c r="E98" s="330"/>
      <c r="F98" s="331"/>
      <c r="G98" s="332"/>
      <c r="H98" s="333"/>
      <c r="I98" s="347"/>
      <c r="J98" s="333"/>
      <c r="K98" s="334"/>
      <c r="L98" s="333"/>
      <c r="M98" s="343"/>
      <c r="N98" s="344"/>
      <c r="O98" s="337"/>
      <c r="P98" s="560"/>
      <c r="Q98" s="671"/>
      <c r="R98" s="672"/>
      <c r="S98" s="673"/>
    </row>
    <row r="99" spans="1:19" x14ac:dyDescent="0.2">
      <c r="A99" s="668"/>
      <c r="B99" s="669"/>
      <c r="C99" s="670"/>
      <c r="D99" s="338"/>
      <c r="E99" s="330"/>
      <c r="F99" s="331"/>
      <c r="G99" s="332"/>
      <c r="H99" s="333"/>
      <c r="I99" s="347"/>
      <c r="J99" s="333"/>
      <c r="K99" s="334"/>
      <c r="L99" s="333"/>
      <c r="M99" s="343"/>
      <c r="N99" s="344"/>
      <c r="O99" s="337"/>
      <c r="P99" s="560"/>
      <c r="Q99" s="671"/>
      <c r="R99" s="672"/>
      <c r="S99" s="673"/>
    </row>
    <row r="100" spans="1:19" x14ac:dyDescent="0.2">
      <c r="A100" s="668"/>
      <c r="B100" s="669"/>
      <c r="C100" s="670"/>
      <c r="D100" s="338"/>
      <c r="E100" s="330"/>
      <c r="F100" s="331"/>
      <c r="G100" s="332"/>
      <c r="H100" s="333"/>
      <c r="I100" s="347"/>
      <c r="J100" s="333"/>
      <c r="K100" s="334"/>
      <c r="L100" s="333"/>
      <c r="M100" s="343"/>
      <c r="N100" s="344"/>
      <c r="O100" s="337"/>
      <c r="P100" s="560"/>
      <c r="Q100" s="671"/>
      <c r="R100" s="672"/>
      <c r="S100" s="673"/>
    </row>
    <row r="101" spans="1:19" x14ac:dyDescent="0.2">
      <c r="A101" s="668"/>
      <c r="B101" s="669"/>
      <c r="C101" s="670"/>
      <c r="D101" s="338"/>
      <c r="E101" s="330"/>
      <c r="F101" s="331"/>
      <c r="G101" s="281"/>
      <c r="H101" s="333"/>
      <c r="I101" s="347"/>
      <c r="J101" s="333"/>
      <c r="K101" s="334"/>
      <c r="L101" s="333"/>
      <c r="M101" s="343"/>
      <c r="N101" s="344"/>
      <c r="O101" s="337"/>
      <c r="P101" s="560"/>
      <c r="Q101" s="671"/>
      <c r="R101" s="672"/>
      <c r="S101" s="673"/>
    </row>
    <row r="102" spans="1:19" x14ac:dyDescent="0.2">
      <c r="A102" s="609"/>
      <c r="B102" s="610"/>
      <c r="C102" s="611"/>
      <c r="D102" s="338"/>
      <c r="E102" s="330"/>
      <c r="F102" s="331"/>
      <c r="G102" s="332"/>
      <c r="H102" s="333"/>
      <c r="I102" s="330"/>
      <c r="J102" s="333"/>
      <c r="K102" s="334"/>
      <c r="L102" s="333"/>
      <c r="M102" s="343"/>
      <c r="N102" s="344"/>
      <c r="O102" s="337"/>
      <c r="P102" s="560"/>
      <c r="Q102" s="671"/>
      <c r="R102" s="672"/>
      <c r="S102" s="673"/>
    </row>
    <row r="103" spans="1:19" x14ac:dyDescent="0.2">
      <c r="A103" s="668"/>
      <c r="B103" s="669"/>
      <c r="C103" s="670"/>
      <c r="D103" s="338"/>
      <c r="E103" s="330"/>
      <c r="F103" s="331"/>
      <c r="G103" s="332"/>
      <c r="H103" s="333"/>
      <c r="I103" s="330"/>
      <c r="J103" s="333"/>
      <c r="K103" s="334"/>
      <c r="L103" s="333"/>
      <c r="M103" s="343"/>
      <c r="N103" s="344"/>
      <c r="O103" s="337"/>
      <c r="P103" s="560"/>
      <c r="Q103" s="671"/>
      <c r="R103" s="672"/>
      <c r="S103" s="673"/>
    </row>
    <row r="104" spans="1:19" x14ac:dyDescent="0.2">
      <c r="A104" s="668"/>
      <c r="B104" s="669"/>
      <c r="C104" s="670"/>
      <c r="D104" s="338"/>
      <c r="E104" s="330"/>
      <c r="F104" s="331"/>
      <c r="G104" s="332"/>
      <c r="H104" s="333"/>
      <c r="I104" s="330"/>
      <c r="J104" s="333"/>
      <c r="K104" s="349"/>
      <c r="L104" s="24"/>
      <c r="M104" s="343"/>
      <c r="N104" s="344"/>
      <c r="O104" s="337"/>
      <c r="P104" s="560"/>
      <c r="Q104" s="671"/>
      <c r="R104" s="672"/>
      <c r="S104" s="673"/>
    </row>
    <row r="105" spans="1:19" x14ac:dyDescent="0.2">
      <c r="A105" s="668"/>
      <c r="B105" s="669"/>
      <c r="C105" s="670"/>
      <c r="D105" s="338"/>
      <c r="E105" s="330"/>
      <c r="F105" s="331"/>
      <c r="G105" s="332"/>
      <c r="H105" s="333"/>
      <c r="I105" s="330"/>
      <c r="J105" s="333"/>
      <c r="K105" s="60"/>
      <c r="L105" s="333"/>
      <c r="M105" s="341"/>
      <c r="N105" s="33"/>
      <c r="O105" s="337"/>
      <c r="P105" s="560"/>
      <c r="Q105" s="671"/>
      <c r="R105" s="672"/>
      <c r="S105" s="673"/>
    </row>
    <row r="106" spans="1:19" x14ac:dyDescent="0.2">
      <c r="A106" s="668"/>
      <c r="B106" s="669"/>
      <c r="C106" s="670"/>
      <c r="D106" s="338"/>
      <c r="E106" s="330"/>
      <c r="F106" s="331"/>
      <c r="G106" s="332"/>
      <c r="H106" s="333"/>
      <c r="I106" s="330"/>
      <c r="J106" s="333"/>
      <c r="K106" s="334"/>
      <c r="L106" s="333"/>
      <c r="M106" s="343"/>
      <c r="N106" s="344"/>
      <c r="O106" s="337"/>
      <c r="P106" s="560"/>
      <c r="Q106" s="671"/>
      <c r="R106" s="672"/>
      <c r="S106" s="673"/>
    </row>
    <row r="107" spans="1:19" x14ac:dyDescent="0.2">
      <c r="A107" s="612"/>
      <c r="B107" s="613"/>
      <c r="C107" s="614"/>
      <c r="D107" s="338"/>
      <c r="E107" s="330"/>
      <c r="F107" s="331"/>
      <c r="G107" s="332"/>
      <c r="H107" s="333"/>
      <c r="I107" s="330"/>
      <c r="J107" s="333"/>
      <c r="K107" s="334"/>
      <c r="L107" s="333"/>
      <c r="M107" s="343"/>
      <c r="N107" s="344"/>
      <c r="O107" s="337"/>
      <c r="P107" s="560"/>
      <c r="Q107" s="671"/>
      <c r="R107" s="672"/>
      <c r="S107" s="673"/>
    </row>
    <row r="108" spans="1:19" x14ac:dyDescent="0.2">
      <c r="A108" s="668"/>
      <c r="B108" s="669"/>
      <c r="C108" s="670"/>
      <c r="D108" s="22"/>
      <c r="E108" s="330"/>
      <c r="F108" s="331"/>
      <c r="G108" s="332"/>
      <c r="H108" s="333"/>
      <c r="I108" s="330"/>
      <c r="J108" s="24"/>
      <c r="K108" s="334"/>
      <c r="L108" s="333"/>
      <c r="M108" s="343"/>
      <c r="N108" s="344"/>
      <c r="O108" s="337"/>
      <c r="P108" s="560"/>
      <c r="Q108" s="671"/>
      <c r="R108" s="672"/>
      <c r="S108" s="673"/>
    </row>
    <row r="109" spans="1:19" x14ac:dyDescent="0.2">
      <c r="A109" s="668"/>
      <c r="B109" s="669"/>
      <c r="C109" s="670"/>
      <c r="D109" s="338"/>
      <c r="E109" s="330"/>
      <c r="F109" s="331"/>
      <c r="G109" s="332"/>
      <c r="H109" s="333"/>
      <c r="I109" s="347"/>
      <c r="J109" s="333"/>
      <c r="K109" s="334"/>
      <c r="L109" s="333"/>
      <c r="M109" s="343"/>
      <c r="N109" s="344"/>
      <c r="O109" s="337"/>
      <c r="P109" s="560"/>
      <c r="Q109" s="671"/>
      <c r="R109" s="672"/>
      <c r="S109" s="673"/>
    </row>
    <row r="110" spans="1:19" x14ac:dyDescent="0.2">
      <c r="A110" s="668"/>
      <c r="B110" s="669"/>
      <c r="C110" s="670"/>
      <c r="D110" s="338"/>
      <c r="E110" s="330"/>
      <c r="F110" s="331"/>
      <c r="G110" s="332"/>
      <c r="H110" s="333"/>
      <c r="I110" s="330"/>
      <c r="J110" s="333"/>
      <c r="K110" s="349"/>
      <c r="L110" s="24"/>
      <c r="M110" s="343"/>
      <c r="N110" s="344"/>
      <c r="O110" s="337"/>
      <c r="P110" s="560"/>
      <c r="Q110" s="671"/>
      <c r="R110" s="672"/>
      <c r="S110" s="673"/>
    </row>
    <row r="111" spans="1:19" x14ac:dyDescent="0.2">
      <c r="A111" s="674"/>
      <c r="B111" s="675"/>
      <c r="C111" s="676"/>
      <c r="D111" s="354"/>
      <c r="E111" s="355"/>
      <c r="F111" s="356"/>
      <c r="G111" s="357"/>
      <c r="H111" s="358"/>
      <c r="I111" s="355"/>
      <c r="J111" s="358"/>
      <c r="K111" s="62"/>
      <c r="L111" s="358"/>
      <c r="M111" s="359"/>
      <c r="N111" s="37"/>
      <c r="O111" s="360"/>
      <c r="P111" s="360"/>
      <c r="Q111" s="677"/>
      <c r="R111" s="678"/>
      <c r="S111" s="679"/>
    </row>
  </sheetData>
  <mergeCells count="219">
    <mergeCell ref="Q6:S6"/>
    <mergeCell ref="A7:C7"/>
    <mergeCell ref="Q7:S7"/>
    <mergeCell ref="A8:C8"/>
    <mergeCell ref="Q8:S8"/>
    <mergeCell ref="A9:C9"/>
    <mergeCell ref="Q9:S9"/>
    <mergeCell ref="L1:M1"/>
    <mergeCell ref="L2:M2"/>
    <mergeCell ref="D3:F3"/>
    <mergeCell ref="L3:M3"/>
    <mergeCell ref="A4:C4"/>
    <mergeCell ref="D4:F4"/>
    <mergeCell ref="L4:M4"/>
    <mergeCell ref="P2:Q2"/>
    <mergeCell ref="A13:C13"/>
    <mergeCell ref="Q13:S13"/>
    <mergeCell ref="A14:C14"/>
    <mergeCell ref="Q14:S14"/>
    <mergeCell ref="A15:C15"/>
    <mergeCell ref="Q15:S15"/>
    <mergeCell ref="A10:C10"/>
    <mergeCell ref="Q10:S10"/>
    <mergeCell ref="A11:C11"/>
    <mergeCell ref="Q11:S11"/>
    <mergeCell ref="A12:C12"/>
    <mergeCell ref="Q12:S12"/>
    <mergeCell ref="A19:C19"/>
    <mergeCell ref="Q19:S19"/>
    <mergeCell ref="A20:C20"/>
    <mergeCell ref="Q20:S20"/>
    <mergeCell ref="A21:C21"/>
    <mergeCell ref="Q21:S21"/>
    <mergeCell ref="A16:C16"/>
    <mergeCell ref="Q16:S16"/>
    <mergeCell ref="A17:C17"/>
    <mergeCell ref="Q17:S17"/>
    <mergeCell ref="A18:C18"/>
    <mergeCell ref="Q18:S18"/>
    <mergeCell ref="A25:C25"/>
    <mergeCell ref="Q25:S25"/>
    <mergeCell ref="A26:C26"/>
    <mergeCell ref="Q26:S26"/>
    <mergeCell ref="A27:C27"/>
    <mergeCell ref="Q27:S27"/>
    <mergeCell ref="A22:C22"/>
    <mergeCell ref="Q22:S22"/>
    <mergeCell ref="A23:C23"/>
    <mergeCell ref="Q23:S23"/>
    <mergeCell ref="A24:C24"/>
    <mergeCell ref="Q24:S24"/>
    <mergeCell ref="A31:C31"/>
    <mergeCell ref="Q31:S31"/>
    <mergeCell ref="A32:C32"/>
    <mergeCell ref="Q32:S32"/>
    <mergeCell ref="A33:C33"/>
    <mergeCell ref="Q33:S33"/>
    <mergeCell ref="A28:C28"/>
    <mergeCell ref="Q28:S28"/>
    <mergeCell ref="A29:C29"/>
    <mergeCell ref="Q29:S29"/>
    <mergeCell ref="A30:C30"/>
    <mergeCell ref="Q30:S30"/>
    <mergeCell ref="A37:C37"/>
    <mergeCell ref="Q37:S37"/>
    <mergeCell ref="A38:C38"/>
    <mergeCell ref="Q38:S38"/>
    <mergeCell ref="A39:C39"/>
    <mergeCell ref="Q39:S39"/>
    <mergeCell ref="A34:C34"/>
    <mergeCell ref="Q34:S34"/>
    <mergeCell ref="A35:C35"/>
    <mergeCell ref="Q35:S35"/>
    <mergeCell ref="A36:C36"/>
    <mergeCell ref="Q36:S36"/>
    <mergeCell ref="A43:C43"/>
    <mergeCell ref="Q43:S43"/>
    <mergeCell ref="A44:C44"/>
    <mergeCell ref="Q44:S44"/>
    <mergeCell ref="A45:C45"/>
    <mergeCell ref="Q45:S45"/>
    <mergeCell ref="A40:C40"/>
    <mergeCell ref="Q40:S40"/>
    <mergeCell ref="A41:C41"/>
    <mergeCell ref="Q41:S41"/>
    <mergeCell ref="A42:C42"/>
    <mergeCell ref="Q42:S42"/>
    <mergeCell ref="A49:C49"/>
    <mergeCell ref="Q49:S49"/>
    <mergeCell ref="A50:C50"/>
    <mergeCell ref="Q50:S50"/>
    <mergeCell ref="A51:C51"/>
    <mergeCell ref="Q51:S51"/>
    <mergeCell ref="A46:C46"/>
    <mergeCell ref="Q46:S46"/>
    <mergeCell ref="A47:C47"/>
    <mergeCell ref="Q47:S47"/>
    <mergeCell ref="A48:C48"/>
    <mergeCell ref="Q48:S48"/>
    <mergeCell ref="A55:C55"/>
    <mergeCell ref="Q55:S55"/>
    <mergeCell ref="A56:C56"/>
    <mergeCell ref="Q56:S56"/>
    <mergeCell ref="A57:C57"/>
    <mergeCell ref="Q57:S57"/>
    <mergeCell ref="A52:C52"/>
    <mergeCell ref="Q52:S52"/>
    <mergeCell ref="A53:C53"/>
    <mergeCell ref="Q53:S53"/>
    <mergeCell ref="A54:C54"/>
    <mergeCell ref="Q54:S54"/>
    <mergeCell ref="A61:C61"/>
    <mergeCell ref="Q61:S61"/>
    <mergeCell ref="A62:C62"/>
    <mergeCell ref="Q62:S62"/>
    <mergeCell ref="A63:C63"/>
    <mergeCell ref="Q63:S63"/>
    <mergeCell ref="A58:C58"/>
    <mergeCell ref="Q58:S58"/>
    <mergeCell ref="A59:C59"/>
    <mergeCell ref="Q59:S59"/>
    <mergeCell ref="A60:C60"/>
    <mergeCell ref="Q60:S60"/>
    <mergeCell ref="A67:C67"/>
    <mergeCell ref="Q67:S67"/>
    <mergeCell ref="A68:C68"/>
    <mergeCell ref="Q68:S68"/>
    <mergeCell ref="A69:C69"/>
    <mergeCell ref="Q69:S69"/>
    <mergeCell ref="A64:C64"/>
    <mergeCell ref="Q64:S64"/>
    <mergeCell ref="A65:C65"/>
    <mergeCell ref="Q65:S65"/>
    <mergeCell ref="A66:C66"/>
    <mergeCell ref="Q66:S66"/>
    <mergeCell ref="A73:C73"/>
    <mergeCell ref="Q73:S73"/>
    <mergeCell ref="A74:C74"/>
    <mergeCell ref="Q74:S74"/>
    <mergeCell ref="A75:C75"/>
    <mergeCell ref="Q75:S75"/>
    <mergeCell ref="A70:C70"/>
    <mergeCell ref="Q70:S70"/>
    <mergeCell ref="A71:C71"/>
    <mergeCell ref="Q71:S71"/>
    <mergeCell ref="A72:C72"/>
    <mergeCell ref="Q72:S72"/>
    <mergeCell ref="A79:C79"/>
    <mergeCell ref="Q79:S79"/>
    <mergeCell ref="A80:C80"/>
    <mergeCell ref="Q80:S80"/>
    <mergeCell ref="A81:C81"/>
    <mergeCell ref="Q81:S81"/>
    <mergeCell ref="A76:C76"/>
    <mergeCell ref="Q76:S76"/>
    <mergeCell ref="A77:C77"/>
    <mergeCell ref="Q77:S77"/>
    <mergeCell ref="A78:C78"/>
    <mergeCell ref="Q78:S78"/>
    <mergeCell ref="A85:C85"/>
    <mergeCell ref="Q85:S85"/>
    <mergeCell ref="A86:C86"/>
    <mergeCell ref="Q86:S86"/>
    <mergeCell ref="A87:C87"/>
    <mergeCell ref="Q87:S87"/>
    <mergeCell ref="A82:C82"/>
    <mergeCell ref="Q82:S82"/>
    <mergeCell ref="A83:C83"/>
    <mergeCell ref="Q83:S83"/>
    <mergeCell ref="A84:C84"/>
    <mergeCell ref="Q84:S84"/>
    <mergeCell ref="A91:C91"/>
    <mergeCell ref="Q91:S91"/>
    <mergeCell ref="A92:C92"/>
    <mergeCell ref="Q92:S92"/>
    <mergeCell ref="A93:C93"/>
    <mergeCell ref="Q93:S93"/>
    <mergeCell ref="A88:C88"/>
    <mergeCell ref="Q88:S88"/>
    <mergeCell ref="A89:C89"/>
    <mergeCell ref="Q89:S89"/>
    <mergeCell ref="A90:C90"/>
    <mergeCell ref="Q90:S90"/>
    <mergeCell ref="A97:C97"/>
    <mergeCell ref="Q97:S97"/>
    <mergeCell ref="A98:C98"/>
    <mergeCell ref="Q98:S98"/>
    <mergeCell ref="A99:C99"/>
    <mergeCell ref="Q99:S99"/>
    <mergeCell ref="A94:C94"/>
    <mergeCell ref="Q94:S94"/>
    <mergeCell ref="A95:C95"/>
    <mergeCell ref="Q95:S95"/>
    <mergeCell ref="A96:C96"/>
    <mergeCell ref="Q96:S96"/>
    <mergeCell ref="A103:C103"/>
    <mergeCell ref="Q103:S103"/>
    <mergeCell ref="A104:C104"/>
    <mergeCell ref="Q104:S104"/>
    <mergeCell ref="A105:C105"/>
    <mergeCell ref="Q105:S105"/>
    <mergeCell ref="A100:C100"/>
    <mergeCell ref="Q100:S100"/>
    <mergeCell ref="A101:C101"/>
    <mergeCell ref="Q101:S101"/>
    <mergeCell ref="A102:C102"/>
    <mergeCell ref="Q102:S102"/>
    <mergeCell ref="A109:C109"/>
    <mergeCell ref="Q109:S109"/>
    <mergeCell ref="A110:C110"/>
    <mergeCell ref="Q110:S110"/>
    <mergeCell ref="A111:C111"/>
    <mergeCell ref="Q111:S111"/>
    <mergeCell ref="A106:C106"/>
    <mergeCell ref="Q106:S106"/>
    <mergeCell ref="A107:C107"/>
    <mergeCell ref="Q107:S107"/>
    <mergeCell ref="A108:C108"/>
    <mergeCell ref="Q108:S108"/>
  </mergeCells>
  <hyperlinks>
    <hyperlink ref="D8" r:id="rId1"/>
    <hyperlink ref="D11" r:id="rId2"/>
    <hyperlink ref="D13" r:id="rId3"/>
    <hyperlink ref="D15" r:id="rId4"/>
    <hyperlink ref="D43" r:id="rId5"/>
    <hyperlink ref="P8" location="'SW price'!A1" display="P1"/>
    <hyperlink ref="P11" location="'SW price'!A1" display="P1"/>
    <hyperlink ref="P15" location="'SW price'!A1" display="P1"/>
    <hyperlink ref="P18" location="'SW price'!A1" display="P1"/>
    <hyperlink ref="P20" location="'SW price'!A1" display="P1"/>
    <hyperlink ref="P22" location="'SW price'!A1" display="P1"/>
    <hyperlink ref="P30" location="'SW price'!A1" display="P1"/>
    <hyperlink ref="P33" location="'SW price'!A1" display="P1"/>
    <hyperlink ref="P35" location="'SW price'!A1" display="P1"/>
    <hyperlink ref="P44" location="'SW price (2)'!A1" display="P2"/>
    <hyperlink ref="P38" location="'SW price (2)'!A1" display="P2"/>
    <hyperlink ref="P56" location="'SW price (2)'!A1" display="P2"/>
    <hyperlink ref="P2" location="'Table of Contents'!A1" display="Table of Contents"/>
  </hyperlinks>
  <pageMargins left="0.7" right="0.7" top="0.75" bottom="0.75" header="0.3" footer="0.3"/>
  <pageSetup orientation="portrait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30"/>
  <sheetViews>
    <sheetView workbookViewId="0">
      <pane ySplit="7" topLeftCell="A33" activePane="bottomLeft" state="frozen"/>
      <selection pane="bottomLeft" activeCell="C45" sqref="C45"/>
    </sheetView>
  </sheetViews>
  <sheetFormatPr defaultRowHeight="12.75" x14ac:dyDescent="0.2"/>
  <cols>
    <col min="1" max="2" width="2.7109375" style="292" customWidth="1"/>
    <col min="3" max="3" width="19.7109375" style="469" bestFit="1" customWidth="1"/>
    <col min="4" max="4" width="3.7109375" style="292" customWidth="1"/>
    <col min="5" max="5" width="8.5703125" style="292" bestFit="1" customWidth="1"/>
    <col min="6" max="6" width="4" style="292" customWidth="1"/>
    <col min="7" max="8" width="6.7109375" style="292" customWidth="1"/>
    <col min="9" max="13" width="5.7109375" style="292" customWidth="1"/>
    <col min="14" max="14" width="3.5703125" style="292" bestFit="1" customWidth="1"/>
    <col min="15" max="15" width="5.7109375" style="292" customWidth="1"/>
    <col min="16" max="16" width="6.7109375" style="292" customWidth="1"/>
    <col min="17" max="17" width="7.7109375" style="292" customWidth="1"/>
    <col min="18" max="18" width="5.7109375" style="292" customWidth="1"/>
    <col min="19" max="19" width="6.7109375" style="292" customWidth="1"/>
    <col min="20" max="20" width="11.140625" style="472" bestFit="1" customWidth="1"/>
    <col min="21" max="21" width="5.7109375" style="292" customWidth="1"/>
    <col min="22" max="22" width="4" style="292" customWidth="1"/>
    <col min="23" max="24" width="9.140625" style="292"/>
    <col min="25" max="25" width="13.42578125" style="292" customWidth="1"/>
    <col min="26" max="256" width="9.140625" style="292"/>
    <col min="257" max="258" width="2.7109375" style="292" customWidth="1"/>
    <col min="259" max="259" width="15.85546875" style="292" customWidth="1"/>
    <col min="260" max="260" width="3.7109375" style="292" customWidth="1"/>
    <col min="261" max="261" width="6.7109375" style="292" customWidth="1"/>
    <col min="262" max="262" width="2.7109375" style="292" customWidth="1"/>
    <col min="263" max="264" width="6.7109375" style="292" customWidth="1"/>
    <col min="265" max="269" width="5.7109375" style="292" customWidth="1"/>
    <col min="270" max="270" width="3.140625" style="292" bestFit="1" customWidth="1"/>
    <col min="271" max="271" width="5.7109375" style="292" customWidth="1"/>
    <col min="272" max="272" width="6.7109375" style="292" customWidth="1"/>
    <col min="273" max="273" width="7.7109375" style="292" customWidth="1"/>
    <col min="274" max="274" width="5.7109375" style="292" customWidth="1"/>
    <col min="275" max="275" width="6.7109375" style="292" customWidth="1"/>
    <col min="276" max="276" width="7.7109375" style="292" customWidth="1"/>
    <col min="277" max="277" width="5.7109375" style="292" customWidth="1"/>
    <col min="278" max="278" width="2.7109375" style="292" customWidth="1"/>
    <col min="279" max="280" width="9.140625" style="292"/>
    <col min="281" max="281" width="13.42578125" style="292" customWidth="1"/>
    <col min="282" max="512" width="9.140625" style="292"/>
    <col min="513" max="514" width="2.7109375" style="292" customWidth="1"/>
    <col min="515" max="515" width="15.85546875" style="292" customWidth="1"/>
    <col min="516" max="516" width="3.7109375" style="292" customWidth="1"/>
    <col min="517" max="517" width="6.7109375" style="292" customWidth="1"/>
    <col min="518" max="518" width="2.7109375" style="292" customWidth="1"/>
    <col min="519" max="520" width="6.7109375" style="292" customWidth="1"/>
    <col min="521" max="525" width="5.7109375" style="292" customWidth="1"/>
    <col min="526" max="526" width="3.140625" style="292" bestFit="1" customWidth="1"/>
    <col min="527" max="527" width="5.7109375" style="292" customWidth="1"/>
    <col min="528" max="528" width="6.7109375" style="292" customWidth="1"/>
    <col min="529" max="529" width="7.7109375" style="292" customWidth="1"/>
    <col min="530" max="530" width="5.7109375" style="292" customWidth="1"/>
    <col min="531" max="531" width="6.7109375" style="292" customWidth="1"/>
    <col min="532" max="532" width="7.7109375" style="292" customWidth="1"/>
    <col min="533" max="533" width="5.7109375" style="292" customWidth="1"/>
    <col min="534" max="534" width="2.7109375" style="292" customWidth="1"/>
    <col min="535" max="536" width="9.140625" style="292"/>
    <col min="537" max="537" width="13.42578125" style="292" customWidth="1"/>
    <col min="538" max="768" width="9.140625" style="292"/>
    <col min="769" max="770" width="2.7109375" style="292" customWidth="1"/>
    <col min="771" max="771" width="15.85546875" style="292" customWidth="1"/>
    <col min="772" max="772" width="3.7109375" style="292" customWidth="1"/>
    <col min="773" max="773" width="6.7109375" style="292" customWidth="1"/>
    <col min="774" max="774" width="2.7109375" style="292" customWidth="1"/>
    <col min="775" max="776" width="6.7109375" style="292" customWidth="1"/>
    <col min="777" max="781" width="5.7109375" style="292" customWidth="1"/>
    <col min="782" max="782" width="3.140625" style="292" bestFit="1" customWidth="1"/>
    <col min="783" max="783" width="5.7109375" style="292" customWidth="1"/>
    <col min="784" max="784" width="6.7109375" style="292" customWidth="1"/>
    <col min="785" max="785" width="7.7109375" style="292" customWidth="1"/>
    <col min="786" max="786" width="5.7109375" style="292" customWidth="1"/>
    <col min="787" max="787" width="6.7109375" style="292" customWidth="1"/>
    <col min="788" max="788" width="7.7109375" style="292" customWidth="1"/>
    <col min="789" max="789" width="5.7109375" style="292" customWidth="1"/>
    <col min="790" max="790" width="2.7109375" style="292" customWidth="1"/>
    <col min="791" max="792" width="9.140625" style="292"/>
    <col min="793" max="793" width="13.42578125" style="292" customWidth="1"/>
    <col min="794" max="1024" width="9.140625" style="292"/>
    <col min="1025" max="1026" width="2.7109375" style="292" customWidth="1"/>
    <col min="1027" max="1027" width="15.85546875" style="292" customWidth="1"/>
    <col min="1028" max="1028" width="3.7109375" style="292" customWidth="1"/>
    <col min="1029" max="1029" width="6.7109375" style="292" customWidth="1"/>
    <col min="1030" max="1030" width="2.7109375" style="292" customWidth="1"/>
    <col min="1031" max="1032" width="6.7109375" style="292" customWidth="1"/>
    <col min="1033" max="1037" width="5.7109375" style="292" customWidth="1"/>
    <col min="1038" max="1038" width="3.140625" style="292" bestFit="1" customWidth="1"/>
    <col min="1039" max="1039" width="5.7109375" style="292" customWidth="1"/>
    <col min="1040" max="1040" width="6.7109375" style="292" customWidth="1"/>
    <col min="1041" max="1041" width="7.7109375" style="292" customWidth="1"/>
    <col min="1042" max="1042" width="5.7109375" style="292" customWidth="1"/>
    <col min="1043" max="1043" width="6.7109375" style="292" customWidth="1"/>
    <col min="1044" max="1044" width="7.7109375" style="292" customWidth="1"/>
    <col min="1045" max="1045" width="5.7109375" style="292" customWidth="1"/>
    <col min="1046" max="1046" width="2.7109375" style="292" customWidth="1"/>
    <col min="1047" max="1048" width="9.140625" style="292"/>
    <col min="1049" max="1049" width="13.42578125" style="292" customWidth="1"/>
    <col min="1050" max="1280" width="9.140625" style="292"/>
    <col min="1281" max="1282" width="2.7109375" style="292" customWidth="1"/>
    <col min="1283" max="1283" width="15.85546875" style="292" customWidth="1"/>
    <col min="1284" max="1284" width="3.7109375" style="292" customWidth="1"/>
    <col min="1285" max="1285" width="6.7109375" style="292" customWidth="1"/>
    <col min="1286" max="1286" width="2.7109375" style="292" customWidth="1"/>
    <col min="1287" max="1288" width="6.7109375" style="292" customWidth="1"/>
    <col min="1289" max="1293" width="5.7109375" style="292" customWidth="1"/>
    <col min="1294" max="1294" width="3.140625" style="292" bestFit="1" customWidth="1"/>
    <col min="1295" max="1295" width="5.7109375" style="292" customWidth="1"/>
    <col min="1296" max="1296" width="6.7109375" style="292" customWidth="1"/>
    <col min="1297" max="1297" width="7.7109375" style="292" customWidth="1"/>
    <col min="1298" max="1298" width="5.7109375" style="292" customWidth="1"/>
    <col min="1299" max="1299" width="6.7109375" style="292" customWidth="1"/>
    <col min="1300" max="1300" width="7.7109375" style="292" customWidth="1"/>
    <col min="1301" max="1301" width="5.7109375" style="292" customWidth="1"/>
    <col min="1302" max="1302" width="2.7109375" style="292" customWidth="1"/>
    <col min="1303" max="1304" width="9.140625" style="292"/>
    <col min="1305" max="1305" width="13.42578125" style="292" customWidth="1"/>
    <col min="1306" max="1536" width="9.140625" style="292"/>
    <col min="1537" max="1538" width="2.7109375" style="292" customWidth="1"/>
    <col min="1539" max="1539" width="15.85546875" style="292" customWidth="1"/>
    <col min="1540" max="1540" width="3.7109375" style="292" customWidth="1"/>
    <col min="1541" max="1541" width="6.7109375" style="292" customWidth="1"/>
    <col min="1542" max="1542" width="2.7109375" style="292" customWidth="1"/>
    <col min="1543" max="1544" width="6.7109375" style="292" customWidth="1"/>
    <col min="1545" max="1549" width="5.7109375" style="292" customWidth="1"/>
    <col min="1550" max="1550" width="3.140625" style="292" bestFit="1" customWidth="1"/>
    <col min="1551" max="1551" width="5.7109375" style="292" customWidth="1"/>
    <col min="1552" max="1552" width="6.7109375" style="292" customWidth="1"/>
    <col min="1553" max="1553" width="7.7109375" style="292" customWidth="1"/>
    <col min="1554" max="1554" width="5.7109375" style="292" customWidth="1"/>
    <col min="1555" max="1555" width="6.7109375" style="292" customWidth="1"/>
    <col min="1556" max="1556" width="7.7109375" style="292" customWidth="1"/>
    <col min="1557" max="1557" width="5.7109375" style="292" customWidth="1"/>
    <col min="1558" max="1558" width="2.7109375" style="292" customWidth="1"/>
    <col min="1559" max="1560" width="9.140625" style="292"/>
    <col min="1561" max="1561" width="13.42578125" style="292" customWidth="1"/>
    <col min="1562" max="1792" width="9.140625" style="292"/>
    <col min="1793" max="1794" width="2.7109375" style="292" customWidth="1"/>
    <col min="1795" max="1795" width="15.85546875" style="292" customWidth="1"/>
    <col min="1796" max="1796" width="3.7109375" style="292" customWidth="1"/>
    <col min="1797" max="1797" width="6.7109375" style="292" customWidth="1"/>
    <col min="1798" max="1798" width="2.7109375" style="292" customWidth="1"/>
    <col min="1799" max="1800" width="6.7109375" style="292" customWidth="1"/>
    <col min="1801" max="1805" width="5.7109375" style="292" customWidth="1"/>
    <col min="1806" max="1806" width="3.140625" style="292" bestFit="1" customWidth="1"/>
    <col min="1807" max="1807" width="5.7109375" style="292" customWidth="1"/>
    <col min="1808" max="1808" width="6.7109375" style="292" customWidth="1"/>
    <col min="1809" max="1809" width="7.7109375" style="292" customWidth="1"/>
    <col min="1810" max="1810" width="5.7109375" style="292" customWidth="1"/>
    <col min="1811" max="1811" width="6.7109375" style="292" customWidth="1"/>
    <col min="1812" max="1812" width="7.7109375" style="292" customWidth="1"/>
    <col min="1813" max="1813" width="5.7109375" style="292" customWidth="1"/>
    <col min="1814" max="1814" width="2.7109375" style="292" customWidth="1"/>
    <col min="1815" max="1816" width="9.140625" style="292"/>
    <col min="1817" max="1817" width="13.42578125" style="292" customWidth="1"/>
    <col min="1818" max="2048" width="9.140625" style="292"/>
    <col min="2049" max="2050" width="2.7109375" style="292" customWidth="1"/>
    <col min="2051" max="2051" width="15.85546875" style="292" customWidth="1"/>
    <col min="2052" max="2052" width="3.7109375" style="292" customWidth="1"/>
    <col min="2053" max="2053" width="6.7109375" style="292" customWidth="1"/>
    <col min="2054" max="2054" width="2.7109375" style="292" customWidth="1"/>
    <col min="2055" max="2056" width="6.7109375" style="292" customWidth="1"/>
    <col min="2057" max="2061" width="5.7109375" style="292" customWidth="1"/>
    <col min="2062" max="2062" width="3.140625" style="292" bestFit="1" customWidth="1"/>
    <col min="2063" max="2063" width="5.7109375" style="292" customWidth="1"/>
    <col min="2064" max="2064" width="6.7109375" style="292" customWidth="1"/>
    <col min="2065" max="2065" width="7.7109375" style="292" customWidth="1"/>
    <col min="2066" max="2066" width="5.7109375" style="292" customWidth="1"/>
    <col min="2067" max="2067" width="6.7109375" style="292" customWidth="1"/>
    <col min="2068" max="2068" width="7.7109375" style="292" customWidth="1"/>
    <col min="2069" max="2069" width="5.7109375" style="292" customWidth="1"/>
    <col min="2070" max="2070" width="2.7109375" style="292" customWidth="1"/>
    <col min="2071" max="2072" width="9.140625" style="292"/>
    <col min="2073" max="2073" width="13.42578125" style="292" customWidth="1"/>
    <col min="2074" max="2304" width="9.140625" style="292"/>
    <col min="2305" max="2306" width="2.7109375" style="292" customWidth="1"/>
    <col min="2307" max="2307" width="15.85546875" style="292" customWidth="1"/>
    <col min="2308" max="2308" width="3.7109375" style="292" customWidth="1"/>
    <col min="2309" max="2309" width="6.7109375" style="292" customWidth="1"/>
    <col min="2310" max="2310" width="2.7109375" style="292" customWidth="1"/>
    <col min="2311" max="2312" width="6.7109375" style="292" customWidth="1"/>
    <col min="2313" max="2317" width="5.7109375" style="292" customWidth="1"/>
    <col min="2318" max="2318" width="3.140625" style="292" bestFit="1" customWidth="1"/>
    <col min="2319" max="2319" width="5.7109375" style="292" customWidth="1"/>
    <col min="2320" max="2320" width="6.7109375" style="292" customWidth="1"/>
    <col min="2321" max="2321" width="7.7109375" style="292" customWidth="1"/>
    <col min="2322" max="2322" width="5.7109375" style="292" customWidth="1"/>
    <col min="2323" max="2323" width="6.7109375" style="292" customWidth="1"/>
    <col min="2324" max="2324" width="7.7109375" style="292" customWidth="1"/>
    <col min="2325" max="2325" width="5.7109375" style="292" customWidth="1"/>
    <col min="2326" max="2326" width="2.7109375" style="292" customWidth="1"/>
    <col min="2327" max="2328" width="9.140625" style="292"/>
    <col min="2329" max="2329" width="13.42578125" style="292" customWidth="1"/>
    <col min="2330" max="2560" width="9.140625" style="292"/>
    <col min="2561" max="2562" width="2.7109375" style="292" customWidth="1"/>
    <col min="2563" max="2563" width="15.85546875" style="292" customWidth="1"/>
    <col min="2564" max="2564" width="3.7109375" style="292" customWidth="1"/>
    <col min="2565" max="2565" width="6.7109375" style="292" customWidth="1"/>
    <col min="2566" max="2566" width="2.7109375" style="292" customWidth="1"/>
    <col min="2567" max="2568" width="6.7109375" style="292" customWidth="1"/>
    <col min="2569" max="2573" width="5.7109375" style="292" customWidth="1"/>
    <col min="2574" max="2574" width="3.140625" style="292" bestFit="1" customWidth="1"/>
    <col min="2575" max="2575" width="5.7109375" style="292" customWidth="1"/>
    <col min="2576" max="2576" width="6.7109375" style="292" customWidth="1"/>
    <col min="2577" max="2577" width="7.7109375" style="292" customWidth="1"/>
    <col min="2578" max="2578" width="5.7109375" style="292" customWidth="1"/>
    <col min="2579" max="2579" width="6.7109375" style="292" customWidth="1"/>
    <col min="2580" max="2580" width="7.7109375" style="292" customWidth="1"/>
    <col min="2581" max="2581" width="5.7109375" style="292" customWidth="1"/>
    <col min="2582" max="2582" width="2.7109375" style="292" customWidth="1"/>
    <col min="2583" max="2584" width="9.140625" style="292"/>
    <col min="2585" max="2585" width="13.42578125" style="292" customWidth="1"/>
    <col min="2586" max="2816" width="9.140625" style="292"/>
    <col min="2817" max="2818" width="2.7109375" style="292" customWidth="1"/>
    <col min="2819" max="2819" width="15.85546875" style="292" customWidth="1"/>
    <col min="2820" max="2820" width="3.7109375" style="292" customWidth="1"/>
    <col min="2821" max="2821" width="6.7109375" style="292" customWidth="1"/>
    <col min="2822" max="2822" width="2.7109375" style="292" customWidth="1"/>
    <col min="2823" max="2824" width="6.7109375" style="292" customWidth="1"/>
    <col min="2825" max="2829" width="5.7109375" style="292" customWidth="1"/>
    <col min="2830" max="2830" width="3.140625" style="292" bestFit="1" customWidth="1"/>
    <col min="2831" max="2831" width="5.7109375" style="292" customWidth="1"/>
    <col min="2832" max="2832" width="6.7109375" style="292" customWidth="1"/>
    <col min="2833" max="2833" width="7.7109375" style="292" customWidth="1"/>
    <col min="2834" max="2834" width="5.7109375" style="292" customWidth="1"/>
    <col min="2835" max="2835" width="6.7109375" style="292" customWidth="1"/>
    <col min="2836" max="2836" width="7.7109375" style="292" customWidth="1"/>
    <col min="2837" max="2837" width="5.7109375" style="292" customWidth="1"/>
    <col min="2838" max="2838" width="2.7109375" style="292" customWidth="1"/>
    <col min="2839" max="2840" width="9.140625" style="292"/>
    <col min="2841" max="2841" width="13.42578125" style="292" customWidth="1"/>
    <col min="2842" max="3072" width="9.140625" style="292"/>
    <col min="3073" max="3074" width="2.7109375" style="292" customWidth="1"/>
    <col min="3075" max="3075" width="15.85546875" style="292" customWidth="1"/>
    <col min="3076" max="3076" width="3.7109375" style="292" customWidth="1"/>
    <col min="3077" max="3077" width="6.7109375" style="292" customWidth="1"/>
    <col min="3078" max="3078" width="2.7109375" style="292" customWidth="1"/>
    <col min="3079" max="3080" width="6.7109375" style="292" customWidth="1"/>
    <col min="3081" max="3085" width="5.7109375" style="292" customWidth="1"/>
    <col min="3086" max="3086" width="3.140625" style="292" bestFit="1" customWidth="1"/>
    <col min="3087" max="3087" width="5.7109375" style="292" customWidth="1"/>
    <col min="3088" max="3088" width="6.7109375" style="292" customWidth="1"/>
    <col min="3089" max="3089" width="7.7109375" style="292" customWidth="1"/>
    <col min="3090" max="3090" width="5.7109375" style="292" customWidth="1"/>
    <col min="3091" max="3091" width="6.7109375" style="292" customWidth="1"/>
    <col min="3092" max="3092" width="7.7109375" style="292" customWidth="1"/>
    <col min="3093" max="3093" width="5.7109375" style="292" customWidth="1"/>
    <col min="3094" max="3094" width="2.7109375" style="292" customWidth="1"/>
    <col min="3095" max="3096" width="9.140625" style="292"/>
    <col min="3097" max="3097" width="13.42578125" style="292" customWidth="1"/>
    <col min="3098" max="3328" width="9.140625" style="292"/>
    <col min="3329" max="3330" width="2.7109375" style="292" customWidth="1"/>
    <col min="3331" max="3331" width="15.85546875" style="292" customWidth="1"/>
    <col min="3332" max="3332" width="3.7109375" style="292" customWidth="1"/>
    <col min="3333" max="3333" width="6.7109375" style="292" customWidth="1"/>
    <col min="3334" max="3334" width="2.7109375" style="292" customWidth="1"/>
    <col min="3335" max="3336" width="6.7109375" style="292" customWidth="1"/>
    <col min="3337" max="3341" width="5.7109375" style="292" customWidth="1"/>
    <col min="3342" max="3342" width="3.140625" style="292" bestFit="1" customWidth="1"/>
    <col min="3343" max="3343" width="5.7109375" style="292" customWidth="1"/>
    <col min="3344" max="3344" width="6.7109375" style="292" customWidth="1"/>
    <col min="3345" max="3345" width="7.7109375" style="292" customWidth="1"/>
    <col min="3346" max="3346" width="5.7109375" style="292" customWidth="1"/>
    <col min="3347" max="3347" width="6.7109375" style="292" customWidth="1"/>
    <col min="3348" max="3348" width="7.7109375" style="292" customWidth="1"/>
    <col min="3349" max="3349" width="5.7109375" style="292" customWidth="1"/>
    <col min="3350" max="3350" width="2.7109375" style="292" customWidth="1"/>
    <col min="3351" max="3352" width="9.140625" style="292"/>
    <col min="3353" max="3353" width="13.42578125" style="292" customWidth="1"/>
    <col min="3354" max="3584" width="9.140625" style="292"/>
    <col min="3585" max="3586" width="2.7109375" style="292" customWidth="1"/>
    <col min="3587" max="3587" width="15.85546875" style="292" customWidth="1"/>
    <col min="3588" max="3588" width="3.7109375" style="292" customWidth="1"/>
    <col min="3589" max="3589" width="6.7109375" style="292" customWidth="1"/>
    <col min="3590" max="3590" width="2.7109375" style="292" customWidth="1"/>
    <col min="3591" max="3592" width="6.7109375" style="292" customWidth="1"/>
    <col min="3593" max="3597" width="5.7109375" style="292" customWidth="1"/>
    <col min="3598" max="3598" width="3.140625" style="292" bestFit="1" customWidth="1"/>
    <col min="3599" max="3599" width="5.7109375" style="292" customWidth="1"/>
    <col min="3600" max="3600" width="6.7109375" style="292" customWidth="1"/>
    <col min="3601" max="3601" width="7.7109375" style="292" customWidth="1"/>
    <col min="3602" max="3602" width="5.7109375" style="292" customWidth="1"/>
    <col min="3603" max="3603" width="6.7109375" style="292" customWidth="1"/>
    <col min="3604" max="3604" width="7.7109375" style="292" customWidth="1"/>
    <col min="3605" max="3605" width="5.7109375" style="292" customWidth="1"/>
    <col min="3606" max="3606" width="2.7109375" style="292" customWidth="1"/>
    <col min="3607" max="3608" width="9.140625" style="292"/>
    <col min="3609" max="3609" width="13.42578125" style="292" customWidth="1"/>
    <col min="3610" max="3840" width="9.140625" style="292"/>
    <col min="3841" max="3842" width="2.7109375" style="292" customWidth="1"/>
    <col min="3843" max="3843" width="15.85546875" style="292" customWidth="1"/>
    <col min="3844" max="3844" width="3.7109375" style="292" customWidth="1"/>
    <col min="3845" max="3845" width="6.7109375" style="292" customWidth="1"/>
    <col min="3846" max="3846" width="2.7109375" style="292" customWidth="1"/>
    <col min="3847" max="3848" width="6.7109375" style="292" customWidth="1"/>
    <col min="3849" max="3853" width="5.7109375" style="292" customWidth="1"/>
    <col min="3854" max="3854" width="3.140625" style="292" bestFit="1" customWidth="1"/>
    <col min="3855" max="3855" width="5.7109375" style="292" customWidth="1"/>
    <col min="3856" max="3856" width="6.7109375" style="292" customWidth="1"/>
    <col min="3857" max="3857" width="7.7109375" style="292" customWidth="1"/>
    <col min="3858" max="3858" width="5.7109375" style="292" customWidth="1"/>
    <col min="3859" max="3859" width="6.7109375" style="292" customWidth="1"/>
    <col min="3860" max="3860" width="7.7109375" style="292" customWidth="1"/>
    <col min="3861" max="3861" width="5.7109375" style="292" customWidth="1"/>
    <col min="3862" max="3862" width="2.7109375" style="292" customWidth="1"/>
    <col min="3863" max="3864" width="9.140625" style="292"/>
    <col min="3865" max="3865" width="13.42578125" style="292" customWidth="1"/>
    <col min="3866" max="4096" width="9.140625" style="292"/>
    <col min="4097" max="4098" width="2.7109375" style="292" customWidth="1"/>
    <col min="4099" max="4099" width="15.85546875" style="292" customWidth="1"/>
    <col min="4100" max="4100" width="3.7109375" style="292" customWidth="1"/>
    <col min="4101" max="4101" width="6.7109375" style="292" customWidth="1"/>
    <col min="4102" max="4102" width="2.7109375" style="292" customWidth="1"/>
    <col min="4103" max="4104" width="6.7109375" style="292" customWidth="1"/>
    <col min="4105" max="4109" width="5.7109375" style="292" customWidth="1"/>
    <col min="4110" max="4110" width="3.140625" style="292" bestFit="1" customWidth="1"/>
    <col min="4111" max="4111" width="5.7109375" style="292" customWidth="1"/>
    <col min="4112" max="4112" width="6.7109375" style="292" customWidth="1"/>
    <col min="4113" max="4113" width="7.7109375" style="292" customWidth="1"/>
    <col min="4114" max="4114" width="5.7109375" style="292" customWidth="1"/>
    <col min="4115" max="4115" width="6.7109375" style="292" customWidth="1"/>
    <col min="4116" max="4116" width="7.7109375" style="292" customWidth="1"/>
    <col min="4117" max="4117" width="5.7109375" style="292" customWidth="1"/>
    <col min="4118" max="4118" width="2.7109375" style="292" customWidth="1"/>
    <col min="4119" max="4120" width="9.140625" style="292"/>
    <col min="4121" max="4121" width="13.42578125" style="292" customWidth="1"/>
    <col min="4122" max="4352" width="9.140625" style="292"/>
    <col min="4353" max="4354" width="2.7109375" style="292" customWidth="1"/>
    <col min="4355" max="4355" width="15.85546875" style="292" customWidth="1"/>
    <col min="4356" max="4356" width="3.7109375" style="292" customWidth="1"/>
    <col min="4357" max="4357" width="6.7109375" style="292" customWidth="1"/>
    <col min="4358" max="4358" width="2.7109375" style="292" customWidth="1"/>
    <col min="4359" max="4360" width="6.7109375" style="292" customWidth="1"/>
    <col min="4361" max="4365" width="5.7109375" style="292" customWidth="1"/>
    <col min="4366" max="4366" width="3.140625" style="292" bestFit="1" customWidth="1"/>
    <col min="4367" max="4367" width="5.7109375" style="292" customWidth="1"/>
    <col min="4368" max="4368" width="6.7109375" style="292" customWidth="1"/>
    <col min="4369" max="4369" width="7.7109375" style="292" customWidth="1"/>
    <col min="4370" max="4370" width="5.7109375" style="292" customWidth="1"/>
    <col min="4371" max="4371" width="6.7109375" style="292" customWidth="1"/>
    <col min="4372" max="4372" width="7.7109375" style="292" customWidth="1"/>
    <col min="4373" max="4373" width="5.7109375" style="292" customWidth="1"/>
    <col min="4374" max="4374" width="2.7109375" style="292" customWidth="1"/>
    <col min="4375" max="4376" width="9.140625" style="292"/>
    <col min="4377" max="4377" width="13.42578125" style="292" customWidth="1"/>
    <col min="4378" max="4608" width="9.140625" style="292"/>
    <col min="4609" max="4610" width="2.7109375" style="292" customWidth="1"/>
    <col min="4611" max="4611" width="15.85546875" style="292" customWidth="1"/>
    <col min="4612" max="4612" width="3.7109375" style="292" customWidth="1"/>
    <col min="4613" max="4613" width="6.7109375" style="292" customWidth="1"/>
    <col min="4614" max="4614" width="2.7109375" style="292" customWidth="1"/>
    <col min="4615" max="4616" width="6.7109375" style="292" customWidth="1"/>
    <col min="4617" max="4621" width="5.7109375" style="292" customWidth="1"/>
    <col min="4622" max="4622" width="3.140625" style="292" bestFit="1" customWidth="1"/>
    <col min="4623" max="4623" width="5.7109375" style="292" customWidth="1"/>
    <col min="4624" max="4624" width="6.7109375" style="292" customWidth="1"/>
    <col min="4625" max="4625" width="7.7109375" style="292" customWidth="1"/>
    <col min="4626" max="4626" width="5.7109375" style="292" customWidth="1"/>
    <col min="4627" max="4627" width="6.7109375" style="292" customWidth="1"/>
    <col min="4628" max="4628" width="7.7109375" style="292" customWidth="1"/>
    <col min="4629" max="4629" width="5.7109375" style="292" customWidth="1"/>
    <col min="4630" max="4630" width="2.7109375" style="292" customWidth="1"/>
    <col min="4631" max="4632" width="9.140625" style="292"/>
    <col min="4633" max="4633" width="13.42578125" style="292" customWidth="1"/>
    <col min="4634" max="4864" width="9.140625" style="292"/>
    <col min="4865" max="4866" width="2.7109375" style="292" customWidth="1"/>
    <col min="4867" max="4867" width="15.85546875" style="292" customWidth="1"/>
    <col min="4868" max="4868" width="3.7109375" style="292" customWidth="1"/>
    <col min="4869" max="4869" width="6.7109375" style="292" customWidth="1"/>
    <col min="4870" max="4870" width="2.7109375" style="292" customWidth="1"/>
    <col min="4871" max="4872" width="6.7109375" style="292" customWidth="1"/>
    <col min="4873" max="4877" width="5.7109375" style="292" customWidth="1"/>
    <col min="4878" max="4878" width="3.140625" style="292" bestFit="1" customWidth="1"/>
    <col min="4879" max="4879" width="5.7109375" style="292" customWidth="1"/>
    <col min="4880" max="4880" width="6.7109375" style="292" customWidth="1"/>
    <col min="4881" max="4881" width="7.7109375" style="292" customWidth="1"/>
    <col min="4882" max="4882" width="5.7109375" style="292" customWidth="1"/>
    <col min="4883" max="4883" width="6.7109375" style="292" customWidth="1"/>
    <col min="4884" max="4884" width="7.7109375" style="292" customWidth="1"/>
    <col min="4885" max="4885" width="5.7109375" style="292" customWidth="1"/>
    <col min="4886" max="4886" width="2.7109375" style="292" customWidth="1"/>
    <col min="4887" max="4888" width="9.140625" style="292"/>
    <col min="4889" max="4889" width="13.42578125" style="292" customWidth="1"/>
    <col min="4890" max="5120" width="9.140625" style="292"/>
    <col min="5121" max="5122" width="2.7109375" style="292" customWidth="1"/>
    <col min="5123" max="5123" width="15.85546875" style="292" customWidth="1"/>
    <col min="5124" max="5124" width="3.7109375" style="292" customWidth="1"/>
    <col min="5125" max="5125" width="6.7109375" style="292" customWidth="1"/>
    <col min="5126" max="5126" width="2.7109375" style="292" customWidth="1"/>
    <col min="5127" max="5128" width="6.7109375" style="292" customWidth="1"/>
    <col min="5129" max="5133" width="5.7109375" style="292" customWidth="1"/>
    <col min="5134" max="5134" width="3.140625" style="292" bestFit="1" customWidth="1"/>
    <col min="5135" max="5135" width="5.7109375" style="292" customWidth="1"/>
    <col min="5136" max="5136" width="6.7109375" style="292" customWidth="1"/>
    <col min="5137" max="5137" width="7.7109375" style="292" customWidth="1"/>
    <col min="5138" max="5138" width="5.7109375" style="292" customWidth="1"/>
    <col min="5139" max="5139" width="6.7109375" style="292" customWidth="1"/>
    <col min="5140" max="5140" width="7.7109375" style="292" customWidth="1"/>
    <col min="5141" max="5141" width="5.7109375" style="292" customWidth="1"/>
    <col min="5142" max="5142" width="2.7109375" style="292" customWidth="1"/>
    <col min="5143" max="5144" width="9.140625" style="292"/>
    <col min="5145" max="5145" width="13.42578125" style="292" customWidth="1"/>
    <col min="5146" max="5376" width="9.140625" style="292"/>
    <col min="5377" max="5378" width="2.7109375" style="292" customWidth="1"/>
    <col min="5379" max="5379" width="15.85546875" style="292" customWidth="1"/>
    <col min="5380" max="5380" width="3.7109375" style="292" customWidth="1"/>
    <col min="5381" max="5381" width="6.7109375" style="292" customWidth="1"/>
    <col min="5382" max="5382" width="2.7109375" style="292" customWidth="1"/>
    <col min="5383" max="5384" width="6.7109375" style="292" customWidth="1"/>
    <col min="5385" max="5389" width="5.7109375" style="292" customWidth="1"/>
    <col min="5390" max="5390" width="3.140625" style="292" bestFit="1" customWidth="1"/>
    <col min="5391" max="5391" width="5.7109375" style="292" customWidth="1"/>
    <col min="5392" max="5392" width="6.7109375" style="292" customWidth="1"/>
    <col min="5393" max="5393" width="7.7109375" style="292" customWidth="1"/>
    <col min="5394" max="5394" width="5.7109375" style="292" customWidth="1"/>
    <col min="5395" max="5395" width="6.7109375" style="292" customWidth="1"/>
    <col min="5396" max="5396" width="7.7109375" style="292" customWidth="1"/>
    <col min="5397" max="5397" width="5.7109375" style="292" customWidth="1"/>
    <col min="5398" max="5398" width="2.7109375" style="292" customWidth="1"/>
    <col min="5399" max="5400" width="9.140625" style="292"/>
    <col min="5401" max="5401" width="13.42578125" style="292" customWidth="1"/>
    <col min="5402" max="5632" width="9.140625" style="292"/>
    <col min="5633" max="5634" width="2.7109375" style="292" customWidth="1"/>
    <col min="5635" max="5635" width="15.85546875" style="292" customWidth="1"/>
    <col min="5636" max="5636" width="3.7109375" style="292" customWidth="1"/>
    <col min="5637" max="5637" width="6.7109375" style="292" customWidth="1"/>
    <col min="5638" max="5638" width="2.7109375" style="292" customWidth="1"/>
    <col min="5639" max="5640" width="6.7109375" style="292" customWidth="1"/>
    <col min="5641" max="5645" width="5.7109375" style="292" customWidth="1"/>
    <col min="5646" max="5646" width="3.140625" style="292" bestFit="1" customWidth="1"/>
    <col min="5647" max="5647" width="5.7109375" style="292" customWidth="1"/>
    <col min="5648" max="5648" width="6.7109375" style="292" customWidth="1"/>
    <col min="5649" max="5649" width="7.7109375" style="292" customWidth="1"/>
    <col min="5650" max="5650" width="5.7109375" style="292" customWidth="1"/>
    <col min="5651" max="5651" width="6.7109375" style="292" customWidth="1"/>
    <col min="5652" max="5652" width="7.7109375" style="292" customWidth="1"/>
    <col min="5653" max="5653" width="5.7109375" style="292" customWidth="1"/>
    <col min="5654" max="5654" width="2.7109375" style="292" customWidth="1"/>
    <col min="5655" max="5656" width="9.140625" style="292"/>
    <col min="5657" max="5657" width="13.42578125" style="292" customWidth="1"/>
    <col min="5658" max="5888" width="9.140625" style="292"/>
    <col min="5889" max="5890" width="2.7109375" style="292" customWidth="1"/>
    <col min="5891" max="5891" width="15.85546875" style="292" customWidth="1"/>
    <col min="5892" max="5892" width="3.7109375" style="292" customWidth="1"/>
    <col min="5893" max="5893" width="6.7109375" style="292" customWidth="1"/>
    <col min="5894" max="5894" width="2.7109375" style="292" customWidth="1"/>
    <col min="5895" max="5896" width="6.7109375" style="292" customWidth="1"/>
    <col min="5897" max="5901" width="5.7109375" style="292" customWidth="1"/>
    <col min="5902" max="5902" width="3.140625" style="292" bestFit="1" customWidth="1"/>
    <col min="5903" max="5903" width="5.7109375" style="292" customWidth="1"/>
    <col min="5904" max="5904" width="6.7109375" style="292" customWidth="1"/>
    <col min="5905" max="5905" width="7.7109375" style="292" customWidth="1"/>
    <col min="5906" max="5906" width="5.7109375" style="292" customWidth="1"/>
    <col min="5907" max="5907" width="6.7109375" style="292" customWidth="1"/>
    <col min="5908" max="5908" width="7.7109375" style="292" customWidth="1"/>
    <col min="5909" max="5909" width="5.7109375" style="292" customWidth="1"/>
    <col min="5910" max="5910" width="2.7109375" style="292" customWidth="1"/>
    <col min="5911" max="5912" width="9.140625" style="292"/>
    <col min="5913" max="5913" width="13.42578125" style="292" customWidth="1"/>
    <col min="5914" max="6144" width="9.140625" style="292"/>
    <col min="6145" max="6146" width="2.7109375" style="292" customWidth="1"/>
    <col min="6147" max="6147" width="15.85546875" style="292" customWidth="1"/>
    <col min="6148" max="6148" width="3.7109375" style="292" customWidth="1"/>
    <col min="6149" max="6149" width="6.7109375" style="292" customWidth="1"/>
    <col min="6150" max="6150" width="2.7109375" style="292" customWidth="1"/>
    <col min="6151" max="6152" width="6.7109375" style="292" customWidth="1"/>
    <col min="6153" max="6157" width="5.7109375" style="292" customWidth="1"/>
    <col min="6158" max="6158" width="3.140625" style="292" bestFit="1" customWidth="1"/>
    <col min="6159" max="6159" width="5.7109375" style="292" customWidth="1"/>
    <col min="6160" max="6160" width="6.7109375" style="292" customWidth="1"/>
    <col min="6161" max="6161" width="7.7109375" style="292" customWidth="1"/>
    <col min="6162" max="6162" width="5.7109375" style="292" customWidth="1"/>
    <col min="6163" max="6163" width="6.7109375" style="292" customWidth="1"/>
    <col min="6164" max="6164" width="7.7109375" style="292" customWidth="1"/>
    <col min="6165" max="6165" width="5.7109375" style="292" customWidth="1"/>
    <col min="6166" max="6166" width="2.7109375" style="292" customWidth="1"/>
    <col min="6167" max="6168" width="9.140625" style="292"/>
    <col min="6169" max="6169" width="13.42578125" style="292" customWidth="1"/>
    <col min="6170" max="6400" width="9.140625" style="292"/>
    <col min="6401" max="6402" width="2.7109375" style="292" customWidth="1"/>
    <col min="6403" max="6403" width="15.85546875" style="292" customWidth="1"/>
    <col min="6404" max="6404" width="3.7109375" style="292" customWidth="1"/>
    <col min="6405" max="6405" width="6.7109375" style="292" customWidth="1"/>
    <col min="6406" max="6406" width="2.7109375" style="292" customWidth="1"/>
    <col min="6407" max="6408" width="6.7109375" style="292" customWidth="1"/>
    <col min="6409" max="6413" width="5.7109375" style="292" customWidth="1"/>
    <col min="6414" max="6414" width="3.140625" style="292" bestFit="1" customWidth="1"/>
    <col min="6415" max="6415" width="5.7109375" style="292" customWidth="1"/>
    <col min="6416" max="6416" width="6.7109375" style="292" customWidth="1"/>
    <col min="6417" max="6417" width="7.7109375" style="292" customWidth="1"/>
    <col min="6418" max="6418" width="5.7109375" style="292" customWidth="1"/>
    <col min="6419" max="6419" width="6.7109375" style="292" customWidth="1"/>
    <col min="6420" max="6420" width="7.7109375" style="292" customWidth="1"/>
    <col min="6421" max="6421" width="5.7109375" style="292" customWidth="1"/>
    <col min="6422" max="6422" width="2.7109375" style="292" customWidth="1"/>
    <col min="6423" max="6424" width="9.140625" style="292"/>
    <col min="6425" max="6425" width="13.42578125" style="292" customWidth="1"/>
    <col min="6426" max="6656" width="9.140625" style="292"/>
    <col min="6657" max="6658" width="2.7109375" style="292" customWidth="1"/>
    <col min="6659" max="6659" width="15.85546875" style="292" customWidth="1"/>
    <col min="6660" max="6660" width="3.7109375" style="292" customWidth="1"/>
    <col min="6661" max="6661" width="6.7109375" style="292" customWidth="1"/>
    <col min="6662" max="6662" width="2.7109375" style="292" customWidth="1"/>
    <col min="6663" max="6664" width="6.7109375" style="292" customWidth="1"/>
    <col min="6665" max="6669" width="5.7109375" style="292" customWidth="1"/>
    <col min="6670" max="6670" width="3.140625" style="292" bestFit="1" customWidth="1"/>
    <col min="6671" max="6671" width="5.7109375" style="292" customWidth="1"/>
    <col min="6672" max="6672" width="6.7109375" style="292" customWidth="1"/>
    <col min="6673" max="6673" width="7.7109375" style="292" customWidth="1"/>
    <col min="6674" max="6674" width="5.7109375" style="292" customWidth="1"/>
    <col min="6675" max="6675" width="6.7109375" style="292" customWidth="1"/>
    <col min="6676" max="6676" width="7.7109375" style="292" customWidth="1"/>
    <col min="6677" max="6677" width="5.7109375" style="292" customWidth="1"/>
    <col min="6678" max="6678" width="2.7109375" style="292" customWidth="1"/>
    <col min="6679" max="6680" width="9.140625" style="292"/>
    <col min="6681" max="6681" width="13.42578125" style="292" customWidth="1"/>
    <col min="6682" max="6912" width="9.140625" style="292"/>
    <col min="6913" max="6914" width="2.7109375" style="292" customWidth="1"/>
    <col min="6915" max="6915" width="15.85546875" style="292" customWidth="1"/>
    <col min="6916" max="6916" width="3.7109375" style="292" customWidth="1"/>
    <col min="6917" max="6917" width="6.7109375" style="292" customWidth="1"/>
    <col min="6918" max="6918" width="2.7109375" style="292" customWidth="1"/>
    <col min="6919" max="6920" width="6.7109375" style="292" customWidth="1"/>
    <col min="6921" max="6925" width="5.7109375" style="292" customWidth="1"/>
    <col min="6926" max="6926" width="3.140625" style="292" bestFit="1" customWidth="1"/>
    <col min="6927" max="6927" width="5.7109375" style="292" customWidth="1"/>
    <col min="6928" max="6928" width="6.7109375" style="292" customWidth="1"/>
    <col min="6929" max="6929" width="7.7109375" style="292" customWidth="1"/>
    <col min="6930" max="6930" width="5.7109375" style="292" customWidth="1"/>
    <col min="6931" max="6931" width="6.7109375" style="292" customWidth="1"/>
    <col min="6932" max="6932" width="7.7109375" style="292" customWidth="1"/>
    <col min="6933" max="6933" width="5.7109375" style="292" customWidth="1"/>
    <col min="6934" max="6934" width="2.7109375" style="292" customWidth="1"/>
    <col min="6935" max="6936" width="9.140625" style="292"/>
    <col min="6937" max="6937" width="13.42578125" style="292" customWidth="1"/>
    <col min="6938" max="7168" width="9.140625" style="292"/>
    <col min="7169" max="7170" width="2.7109375" style="292" customWidth="1"/>
    <col min="7171" max="7171" width="15.85546875" style="292" customWidth="1"/>
    <col min="7172" max="7172" width="3.7109375" style="292" customWidth="1"/>
    <col min="7173" max="7173" width="6.7109375" style="292" customWidth="1"/>
    <col min="7174" max="7174" width="2.7109375" style="292" customWidth="1"/>
    <col min="7175" max="7176" width="6.7109375" style="292" customWidth="1"/>
    <col min="7177" max="7181" width="5.7109375" style="292" customWidth="1"/>
    <col min="7182" max="7182" width="3.140625" style="292" bestFit="1" customWidth="1"/>
    <col min="7183" max="7183" width="5.7109375" style="292" customWidth="1"/>
    <col min="7184" max="7184" width="6.7109375" style="292" customWidth="1"/>
    <col min="7185" max="7185" width="7.7109375" style="292" customWidth="1"/>
    <col min="7186" max="7186" width="5.7109375" style="292" customWidth="1"/>
    <col min="7187" max="7187" width="6.7109375" style="292" customWidth="1"/>
    <col min="7188" max="7188" width="7.7109375" style="292" customWidth="1"/>
    <col min="7189" max="7189" width="5.7109375" style="292" customWidth="1"/>
    <col min="7190" max="7190" width="2.7109375" style="292" customWidth="1"/>
    <col min="7191" max="7192" width="9.140625" style="292"/>
    <col min="7193" max="7193" width="13.42578125" style="292" customWidth="1"/>
    <col min="7194" max="7424" width="9.140625" style="292"/>
    <col min="7425" max="7426" width="2.7109375" style="292" customWidth="1"/>
    <col min="7427" max="7427" width="15.85546875" style="292" customWidth="1"/>
    <col min="7428" max="7428" width="3.7109375" style="292" customWidth="1"/>
    <col min="7429" max="7429" width="6.7109375" style="292" customWidth="1"/>
    <col min="7430" max="7430" width="2.7109375" style="292" customWidth="1"/>
    <col min="7431" max="7432" width="6.7109375" style="292" customWidth="1"/>
    <col min="7433" max="7437" width="5.7109375" style="292" customWidth="1"/>
    <col min="7438" max="7438" width="3.140625" style="292" bestFit="1" customWidth="1"/>
    <col min="7439" max="7439" width="5.7109375" style="292" customWidth="1"/>
    <col min="7440" max="7440" width="6.7109375" style="292" customWidth="1"/>
    <col min="7441" max="7441" width="7.7109375" style="292" customWidth="1"/>
    <col min="7442" max="7442" width="5.7109375" style="292" customWidth="1"/>
    <col min="7443" max="7443" width="6.7109375" style="292" customWidth="1"/>
    <col min="7444" max="7444" width="7.7109375" style="292" customWidth="1"/>
    <col min="7445" max="7445" width="5.7109375" style="292" customWidth="1"/>
    <col min="7446" max="7446" width="2.7109375" style="292" customWidth="1"/>
    <col min="7447" max="7448" width="9.140625" style="292"/>
    <col min="7449" max="7449" width="13.42578125" style="292" customWidth="1"/>
    <col min="7450" max="7680" width="9.140625" style="292"/>
    <col min="7681" max="7682" width="2.7109375" style="292" customWidth="1"/>
    <col min="7683" max="7683" width="15.85546875" style="292" customWidth="1"/>
    <col min="7684" max="7684" width="3.7109375" style="292" customWidth="1"/>
    <col min="7685" max="7685" width="6.7109375" style="292" customWidth="1"/>
    <col min="7686" max="7686" width="2.7109375" style="292" customWidth="1"/>
    <col min="7687" max="7688" width="6.7109375" style="292" customWidth="1"/>
    <col min="7689" max="7693" width="5.7109375" style="292" customWidth="1"/>
    <col min="7694" max="7694" width="3.140625" style="292" bestFit="1" customWidth="1"/>
    <col min="7695" max="7695" width="5.7109375" style="292" customWidth="1"/>
    <col min="7696" max="7696" width="6.7109375" style="292" customWidth="1"/>
    <col min="7697" max="7697" width="7.7109375" style="292" customWidth="1"/>
    <col min="7698" max="7698" width="5.7109375" style="292" customWidth="1"/>
    <col min="7699" max="7699" width="6.7109375" style="292" customWidth="1"/>
    <col min="7700" max="7700" width="7.7109375" style="292" customWidth="1"/>
    <col min="7701" max="7701" width="5.7109375" style="292" customWidth="1"/>
    <col min="7702" max="7702" width="2.7109375" style="292" customWidth="1"/>
    <col min="7703" max="7704" width="9.140625" style="292"/>
    <col min="7705" max="7705" width="13.42578125" style="292" customWidth="1"/>
    <col min="7706" max="7936" width="9.140625" style="292"/>
    <col min="7937" max="7938" width="2.7109375" style="292" customWidth="1"/>
    <col min="7939" max="7939" width="15.85546875" style="292" customWidth="1"/>
    <col min="7940" max="7940" width="3.7109375" style="292" customWidth="1"/>
    <col min="7941" max="7941" width="6.7109375" style="292" customWidth="1"/>
    <col min="7942" max="7942" width="2.7109375" style="292" customWidth="1"/>
    <col min="7943" max="7944" width="6.7109375" style="292" customWidth="1"/>
    <col min="7945" max="7949" width="5.7109375" style="292" customWidth="1"/>
    <col min="7950" max="7950" width="3.140625" style="292" bestFit="1" customWidth="1"/>
    <col min="7951" max="7951" width="5.7109375" style="292" customWidth="1"/>
    <col min="7952" max="7952" width="6.7109375" style="292" customWidth="1"/>
    <col min="7953" max="7953" width="7.7109375" style="292" customWidth="1"/>
    <col min="7954" max="7954" width="5.7109375" style="292" customWidth="1"/>
    <col min="7955" max="7955" width="6.7109375" style="292" customWidth="1"/>
    <col min="7956" max="7956" width="7.7109375" style="292" customWidth="1"/>
    <col min="7957" max="7957" width="5.7109375" style="292" customWidth="1"/>
    <col min="7958" max="7958" width="2.7109375" style="292" customWidth="1"/>
    <col min="7959" max="7960" width="9.140625" style="292"/>
    <col min="7961" max="7961" width="13.42578125" style="292" customWidth="1"/>
    <col min="7962" max="8192" width="9.140625" style="292"/>
    <col min="8193" max="8194" width="2.7109375" style="292" customWidth="1"/>
    <col min="8195" max="8195" width="15.85546875" style="292" customWidth="1"/>
    <col min="8196" max="8196" width="3.7109375" style="292" customWidth="1"/>
    <col min="8197" max="8197" width="6.7109375" style="292" customWidth="1"/>
    <col min="8198" max="8198" width="2.7109375" style="292" customWidth="1"/>
    <col min="8199" max="8200" width="6.7109375" style="292" customWidth="1"/>
    <col min="8201" max="8205" width="5.7109375" style="292" customWidth="1"/>
    <col min="8206" max="8206" width="3.140625" style="292" bestFit="1" customWidth="1"/>
    <col min="8207" max="8207" width="5.7109375" style="292" customWidth="1"/>
    <col min="8208" max="8208" width="6.7109375" style="292" customWidth="1"/>
    <col min="8209" max="8209" width="7.7109375" style="292" customWidth="1"/>
    <col min="8210" max="8210" width="5.7109375" style="292" customWidth="1"/>
    <col min="8211" max="8211" width="6.7109375" style="292" customWidth="1"/>
    <col min="8212" max="8212" width="7.7109375" style="292" customWidth="1"/>
    <col min="8213" max="8213" width="5.7109375" style="292" customWidth="1"/>
    <col min="8214" max="8214" width="2.7109375" style="292" customWidth="1"/>
    <col min="8215" max="8216" width="9.140625" style="292"/>
    <col min="8217" max="8217" width="13.42578125" style="292" customWidth="1"/>
    <col min="8218" max="8448" width="9.140625" style="292"/>
    <col min="8449" max="8450" width="2.7109375" style="292" customWidth="1"/>
    <col min="8451" max="8451" width="15.85546875" style="292" customWidth="1"/>
    <col min="8452" max="8452" width="3.7109375" style="292" customWidth="1"/>
    <col min="8453" max="8453" width="6.7109375" style="292" customWidth="1"/>
    <col min="8454" max="8454" width="2.7109375" style="292" customWidth="1"/>
    <col min="8455" max="8456" width="6.7109375" style="292" customWidth="1"/>
    <col min="8457" max="8461" width="5.7109375" style="292" customWidth="1"/>
    <col min="8462" max="8462" width="3.140625" style="292" bestFit="1" customWidth="1"/>
    <col min="8463" max="8463" width="5.7109375" style="292" customWidth="1"/>
    <col min="8464" max="8464" width="6.7109375" style="292" customWidth="1"/>
    <col min="8465" max="8465" width="7.7109375" style="292" customWidth="1"/>
    <col min="8466" max="8466" width="5.7109375" style="292" customWidth="1"/>
    <col min="8467" max="8467" width="6.7109375" style="292" customWidth="1"/>
    <col min="8468" max="8468" width="7.7109375" style="292" customWidth="1"/>
    <col min="8469" max="8469" width="5.7109375" style="292" customWidth="1"/>
    <col min="8470" max="8470" width="2.7109375" style="292" customWidth="1"/>
    <col min="8471" max="8472" width="9.140625" style="292"/>
    <col min="8473" max="8473" width="13.42578125" style="292" customWidth="1"/>
    <col min="8474" max="8704" width="9.140625" style="292"/>
    <col min="8705" max="8706" width="2.7109375" style="292" customWidth="1"/>
    <col min="8707" max="8707" width="15.85546875" style="292" customWidth="1"/>
    <col min="8708" max="8708" width="3.7109375" style="292" customWidth="1"/>
    <col min="8709" max="8709" width="6.7109375" style="292" customWidth="1"/>
    <col min="8710" max="8710" width="2.7109375" style="292" customWidth="1"/>
    <col min="8711" max="8712" width="6.7109375" style="292" customWidth="1"/>
    <col min="8713" max="8717" width="5.7109375" style="292" customWidth="1"/>
    <col min="8718" max="8718" width="3.140625" style="292" bestFit="1" customWidth="1"/>
    <col min="8719" max="8719" width="5.7109375" style="292" customWidth="1"/>
    <col min="8720" max="8720" width="6.7109375" style="292" customWidth="1"/>
    <col min="8721" max="8721" width="7.7109375" style="292" customWidth="1"/>
    <col min="8722" max="8722" width="5.7109375" style="292" customWidth="1"/>
    <col min="8723" max="8723" width="6.7109375" style="292" customWidth="1"/>
    <col min="8724" max="8724" width="7.7109375" style="292" customWidth="1"/>
    <col min="8725" max="8725" width="5.7109375" style="292" customWidth="1"/>
    <col min="8726" max="8726" width="2.7109375" style="292" customWidth="1"/>
    <col min="8727" max="8728" width="9.140625" style="292"/>
    <col min="8729" max="8729" width="13.42578125" style="292" customWidth="1"/>
    <col min="8730" max="8960" width="9.140625" style="292"/>
    <col min="8961" max="8962" width="2.7109375" style="292" customWidth="1"/>
    <col min="8963" max="8963" width="15.85546875" style="292" customWidth="1"/>
    <col min="8964" max="8964" width="3.7109375" style="292" customWidth="1"/>
    <col min="8965" max="8965" width="6.7109375" style="292" customWidth="1"/>
    <col min="8966" max="8966" width="2.7109375" style="292" customWidth="1"/>
    <col min="8967" max="8968" width="6.7109375" style="292" customWidth="1"/>
    <col min="8969" max="8973" width="5.7109375" style="292" customWidth="1"/>
    <col min="8974" max="8974" width="3.140625" style="292" bestFit="1" customWidth="1"/>
    <col min="8975" max="8975" width="5.7109375" style="292" customWidth="1"/>
    <col min="8976" max="8976" width="6.7109375" style="292" customWidth="1"/>
    <col min="8977" max="8977" width="7.7109375" style="292" customWidth="1"/>
    <col min="8978" max="8978" width="5.7109375" style="292" customWidth="1"/>
    <col min="8979" max="8979" width="6.7109375" style="292" customWidth="1"/>
    <col min="8980" max="8980" width="7.7109375" style="292" customWidth="1"/>
    <col min="8981" max="8981" width="5.7109375" style="292" customWidth="1"/>
    <col min="8982" max="8982" width="2.7109375" style="292" customWidth="1"/>
    <col min="8983" max="8984" width="9.140625" style="292"/>
    <col min="8985" max="8985" width="13.42578125" style="292" customWidth="1"/>
    <col min="8986" max="9216" width="9.140625" style="292"/>
    <col min="9217" max="9218" width="2.7109375" style="292" customWidth="1"/>
    <col min="9219" max="9219" width="15.85546875" style="292" customWidth="1"/>
    <col min="9220" max="9220" width="3.7109375" style="292" customWidth="1"/>
    <col min="9221" max="9221" width="6.7109375" style="292" customWidth="1"/>
    <col min="9222" max="9222" width="2.7109375" style="292" customWidth="1"/>
    <col min="9223" max="9224" width="6.7109375" style="292" customWidth="1"/>
    <col min="9225" max="9229" width="5.7109375" style="292" customWidth="1"/>
    <col min="9230" max="9230" width="3.140625" style="292" bestFit="1" customWidth="1"/>
    <col min="9231" max="9231" width="5.7109375" style="292" customWidth="1"/>
    <col min="9232" max="9232" width="6.7109375" style="292" customWidth="1"/>
    <col min="9233" max="9233" width="7.7109375" style="292" customWidth="1"/>
    <col min="9234" max="9234" width="5.7109375" style="292" customWidth="1"/>
    <col min="9235" max="9235" width="6.7109375" style="292" customWidth="1"/>
    <col min="9236" max="9236" width="7.7109375" style="292" customWidth="1"/>
    <col min="9237" max="9237" width="5.7109375" style="292" customWidth="1"/>
    <col min="9238" max="9238" width="2.7109375" style="292" customWidth="1"/>
    <col min="9239" max="9240" width="9.140625" style="292"/>
    <col min="9241" max="9241" width="13.42578125" style="292" customWidth="1"/>
    <col min="9242" max="9472" width="9.140625" style="292"/>
    <col min="9473" max="9474" width="2.7109375" style="292" customWidth="1"/>
    <col min="9475" max="9475" width="15.85546875" style="292" customWidth="1"/>
    <col min="9476" max="9476" width="3.7109375" style="292" customWidth="1"/>
    <col min="9477" max="9477" width="6.7109375" style="292" customWidth="1"/>
    <col min="9478" max="9478" width="2.7109375" style="292" customWidth="1"/>
    <col min="9479" max="9480" width="6.7109375" style="292" customWidth="1"/>
    <col min="9481" max="9485" width="5.7109375" style="292" customWidth="1"/>
    <col min="9486" max="9486" width="3.140625" style="292" bestFit="1" customWidth="1"/>
    <col min="9487" max="9487" width="5.7109375" style="292" customWidth="1"/>
    <col min="9488" max="9488" width="6.7109375" style="292" customWidth="1"/>
    <col min="9489" max="9489" width="7.7109375" style="292" customWidth="1"/>
    <col min="9490" max="9490" width="5.7109375" style="292" customWidth="1"/>
    <col min="9491" max="9491" width="6.7109375" style="292" customWidth="1"/>
    <col min="9492" max="9492" width="7.7109375" style="292" customWidth="1"/>
    <col min="9493" max="9493" width="5.7109375" style="292" customWidth="1"/>
    <col min="9494" max="9494" width="2.7109375" style="292" customWidth="1"/>
    <col min="9495" max="9496" width="9.140625" style="292"/>
    <col min="9497" max="9497" width="13.42578125" style="292" customWidth="1"/>
    <col min="9498" max="9728" width="9.140625" style="292"/>
    <col min="9729" max="9730" width="2.7109375" style="292" customWidth="1"/>
    <col min="9731" max="9731" width="15.85546875" style="292" customWidth="1"/>
    <col min="9732" max="9732" width="3.7109375" style="292" customWidth="1"/>
    <col min="9733" max="9733" width="6.7109375" style="292" customWidth="1"/>
    <col min="9734" max="9734" width="2.7109375" style="292" customWidth="1"/>
    <col min="9735" max="9736" width="6.7109375" style="292" customWidth="1"/>
    <col min="9737" max="9741" width="5.7109375" style="292" customWidth="1"/>
    <col min="9742" max="9742" width="3.140625" style="292" bestFit="1" customWidth="1"/>
    <col min="9743" max="9743" width="5.7109375" style="292" customWidth="1"/>
    <col min="9744" max="9744" width="6.7109375" style="292" customWidth="1"/>
    <col min="9745" max="9745" width="7.7109375" style="292" customWidth="1"/>
    <col min="9746" max="9746" width="5.7109375" style="292" customWidth="1"/>
    <col min="9747" max="9747" width="6.7109375" style="292" customWidth="1"/>
    <col min="9748" max="9748" width="7.7109375" style="292" customWidth="1"/>
    <col min="9749" max="9749" width="5.7109375" style="292" customWidth="1"/>
    <col min="9750" max="9750" width="2.7109375" style="292" customWidth="1"/>
    <col min="9751" max="9752" width="9.140625" style="292"/>
    <col min="9753" max="9753" width="13.42578125" style="292" customWidth="1"/>
    <col min="9754" max="9984" width="9.140625" style="292"/>
    <col min="9985" max="9986" width="2.7109375" style="292" customWidth="1"/>
    <col min="9987" max="9987" width="15.85546875" style="292" customWidth="1"/>
    <col min="9988" max="9988" width="3.7109375" style="292" customWidth="1"/>
    <col min="9989" max="9989" width="6.7109375" style="292" customWidth="1"/>
    <col min="9990" max="9990" width="2.7109375" style="292" customWidth="1"/>
    <col min="9991" max="9992" width="6.7109375" style="292" customWidth="1"/>
    <col min="9993" max="9997" width="5.7109375" style="292" customWidth="1"/>
    <col min="9998" max="9998" width="3.140625" style="292" bestFit="1" customWidth="1"/>
    <col min="9999" max="9999" width="5.7109375" style="292" customWidth="1"/>
    <col min="10000" max="10000" width="6.7109375" style="292" customWidth="1"/>
    <col min="10001" max="10001" width="7.7109375" style="292" customWidth="1"/>
    <col min="10002" max="10002" width="5.7109375" style="292" customWidth="1"/>
    <col min="10003" max="10003" width="6.7109375" style="292" customWidth="1"/>
    <col min="10004" max="10004" width="7.7109375" style="292" customWidth="1"/>
    <col min="10005" max="10005" width="5.7109375" style="292" customWidth="1"/>
    <col min="10006" max="10006" width="2.7109375" style="292" customWidth="1"/>
    <col min="10007" max="10008" width="9.140625" style="292"/>
    <col min="10009" max="10009" width="13.42578125" style="292" customWidth="1"/>
    <col min="10010" max="10240" width="9.140625" style="292"/>
    <col min="10241" max="10242" width="2.7109375" style="292" customWidth="1"/>
    <col min="10243" max="10243" width="15.85546875" style="292" customWidth="1"/>
    <col min="10244" max="10244" width="3.7109375" style="292" customWidth="1"/>
    <col min="10245" max="10245" width="6.7109375" style="292" customWidth="1"/>
    <col min="10246" max="10246" width="2.7109375" style="292" customWidth="1"/>
    <col min="10247" max="10248" width="6.7109375" style="292" customWidth="1"/>
    <col min="10249" max="10253" width="5.7109375" style="292" customWidth="1"/>
    <col min="10254" max="10254" width="3.140625" style="292" bestFit="1" customWidth="1"/>
    <col min="10255" max="10255" width="5.7109375" style="292" customWidth="1"/>
    <col min="10256" max="10256" width="6.7109375" style="292" customWidth="1"/>
    <col min="10257" max="10257" width="7.7109375" style="292" customWidth="1"/>
    <col min="10258" max="10258" width="5.7109375" style="292" customWidth="1"/>
    <col min="10259" max="10259" width="6.7109375" style="292" customWidth="1"/>
    <col min="10260" max="10260" width="7.7109375" style="292" customWidth="1"/>
    <col min="10261" max="10261" width="5.7109375" style="292" customWidth="1"/>
    <col min="10262" max="10262" width="2.7109375" style="292" customWidth="1"/>
    <col min="10263" max="10264" width="9.140625" style="292"/>
    <col min="10265" max="10265" width="13.42578125" style="292" customWidth="1"/>
    <col min="10266" max="10496" width="9.140625" style="292"/>
    <col min="10497" max="10498" width="2.7109375" style="292" customWidth="1"/>
    <col min="10499" max="10499" width="15.85546875" style="292" customWidth="1"/>
    <col min="10500" max="10500" width="3.7109375" style="292" customWidth="1"/>
    <col min="10501" max="10501" width="6.7109375" style="292" customWidth="1"/>
    <col min="10502" max="10502" width="2.7109375" style="292" customWidth="1"/>
    <col min="10503" max="10504" width="6.7109375" style="292" customWidth="1"/>
    <col min="10505" max="10509" width="5.7109375" style="292" customWidth="1"/>
    <col min="10510" max="10510" width="3.140625" style="292" bestFit="1" customWidth="1"/>
    <col min="10511" max="10511" width="5.7109375" style="292" customWidth="1"/>
    <col min="10512" max="10512" width="6.7109375" style="292" customWidth="1"/>
    <col min="10513" max="10513" width="7.7109375" style="292" customWidth="1"/>
    <col min="10514" max="10514" width="5.7109375" style="292" customWidth="1"/>
    <col min="10515" max="10515" width="6.7109375" style="292" customWidth="1"/>
    <col min="10516" max="10516" width="7.7109375" style="292" customWidth="1"/>
    <col min="10517" max="10517" width="5.7109375" style="292" customWidth="1"/>
    <col min="10518" max="10518" width="2.7109375" style="292" customWidth="1"/>
    <col min="10519" max="10520" width="9.140625" style="292"/>
    <col min="10521" max="10521" width="13.42578125" style="292" customWidth="1"/>
    <col min="10522" max="10752" width="9.140625" style="292"/>
    <col min="10753" max="10754" width="2.7109375" style="292" customWidth="1"/>
    <col min="10755" max="10755" width="15.85546875" style="292" customWidth="1"/>
    <col min="10756" max="10756" width="3.7109375" style="292" customWidth="1"/>
    <col min="10757" max="10757" width="6.7109375" style="292" customWidth="1"/>
    <col min="10758" max="10758" width="2.7109375" style="292" customWidth="1"/>
    <col min="10759" max="10760" width="6.7109375" style="292" customWidth="1"/>
    <col min="10761" max="10765" width="5.7109375" style="292" customWidth="1"/>
    <col min="10766" max="10766" width="3.140625" style="292" bestFit="1" customWidth="1"/>
    <col min="10767" max="10767" width="5.7109375" style="292" customWidth="1"/>
    <col min="10768" max="10768" width="6.7109375" style="292" customWidth="1"/>
    <col min="10769" max="10769" width="7.7109375" style="292" customWidth="1"/>
    <col min="10770" max="10770" width="5.7109375" style="292" customWidth="1"/>
    <col min="10771" max="10771" width="6.7109375" style="292" customWidth="1"/>
    <col min="10772" max="10772" width="7.7109375" style="292" customWidth="1"/>
    <col min="10773" max="10773" width="5.7109375" style="292" customWidth="1"/>
    <col min="10774" max="10774" width="2.7109375" style="292" customWidth="1"/>
    <col min="10775" max="10776" width="9.140625" style="292"/>
    <col min="10777" max="10777" width="13.42578125" style="292" customWidth="1"/>
    <col min="10778" max="11008" width="9.140625" style="292"/>
    <col min="11009" max="11010" width="2.7109375" style="292" customWidth="1"/>
    <col min="11011" max="11011" width="15.85546875" style="292" customWidth="1"/>
    <col min="11012" max="11012" width="3.7109375" style="292" customWidth="1"/>
    <col min="11013" max="11013" width="6.7109375" style="292" customWidth="1"/>
    <col min="11014" max="11014" width="2.7109375" style="292" customWidth="1"/>
    <col min="11015" max="11016" width="6.7109375" style="292" customWidth="1"/>
    <col min="11017" max="11021" width="5.7109375" style="292" customWidth="1"/>
    <col min="11022" max="11022" width="3.140625" style="292" bestFit="1" customWidth="1"/>
    <col min="11023" max="11023" width="5.7109375" style="292" customWidth="1"/>
    <col min="11024" max="11024" width="6.7109375" style="292" customWidth="1"/>
    <col min="11025" max="11025" width="7.7109375" style="292" customWidth="1"/>
    <col min="11026" max="11026" width="5.7109375" style="292" customWidth="1"/>
    <col min="11027" max="11027" width="6.7109375" style="292" customWidth="1"/>
    <col min="11028" max="11028" width="7.7109375" style="292" customWidth="1"/>
    <col min="11029" max="11029" width="5.7109375" style="292" customWidth="1"/>
    <col min="11030" max="11030" width="2.7109375" style="292" customWidth="1"/>
    <col min="11031" max="11032" width="9.140625" style="292"/>
    <col min="11033" max="11033" width="13.42578125" style="292" customWidth="1"/>
    <col min="11034" max="11264" width="9.140625" style="292"/>
    <col min="11265" max="11266" width="2.7109375" style="292" customWidth="1"/>
    <col min="11267" max="11267" width="15.85546875" style="292" customWidth="1"/>
    <col min="11268" max="11268" width="3.7109375" style="292" customWidth="1"/>
    <col min="11269" max="11269" width="6.7109375" style="292" customWidth="1"/>
    <col min="11270" max="11270" width="2.7109375" style="292" customWidth="1"/>
    <col min="11271" max="11272" width="6.7109375" style="292" customWidth="1"/>
    <col min="11273" max="11277" width="5.7109375" style="292" customWidth="1"/>
    <col min="11278" max="11278" width="3.140625" style="292" bestFit="1" customWidth="1"/>
    <col min="11279" max="11279" width="5.7109375" style="292" customWidth="1"/>
    <col min="11280" max="11280" width="6.7109375" style="292" customWidth="1"/>
    <col min="11281" max="11281" width="7.7109375" style="292" customWidth="1"/>
    <col min="11282" max="11282" width="5.7109375" style="292" customWidth="1"/>
    <col min="11283" max="11283" width="6.7109375" style="292" customWidth="1"/>
    <col min="11284" max="11284" width="7.7109375" style="292" customWidth="1"/>
    <col min="11285" max="11285" width="5.7109375" style="292" customWidth="1"/>
    <col min="11286" max="11286" width="2.7109375" style="292" customWidth="1"/>
    <col min="11287" max="11288" width="9.140625" style="292"/>
    <col min="11289" max="11289" width="13.42578125" style="292" customWidth="1"/>
    <col min="11290" max="11520" width="9.140625" style="292"/>
    <col min="11521" max="11522" width="2.7109375" style="292" customWidth="1"/>
    <col min="11523" max="11523" width="15.85546875" style="292" customWidth="1"/>
    <col min="11524" max="11524" width="3.7109375" style="292" customWidth="1"/>
    <col min="11525" max="11525" width="6.7109375" style="292" customWidth="1"/>
    <col min="11526" max="11526" width="2.7109375" style="292" customWidth="1"/>
    <col min="11527" max="11528" width="6.7109375" style="292" customWidth="1"/>
    <col min="11529" max="11533" width="5.7109375" style="292" customWidth="1"/>
    <col min="11534" max="11534" width="3.140625" style="292" bestFit="1" customWidth="1"/>
    <col min="11535" max="11535" width="5.7109375" style="292" customWidth="1"/>
    <col min="11536" max="11536" width="6.7109375" style="292" customWidth="1"/>
    <col min="11537" max="11537" width="7.7109375" style="292" customWidth="1"/>
    <col min="11538" max="11538" width="5.7109375" style="292" customWidth="1"/>
    <col min="11539" max="11539" width="6.7109375" style="292" customWidth="1"/>
    <col min="11540" max="11540" width="7.7109375" style="292" customWidth="1"/>
    <col min="11541" max="11541" width="5.7109375" style="292" customWidth="1"/>
    <col min="11542" max="11542" width="2.7109375" style="292" customWidth="1"/>
    <col min="11543" max="11544" width="9.140625" style="292"/>
    <col min="11545" max="11545" width="13.42578125" style="292" customWidth="1"/>
    <col min="11546" max="11776" width="9.140625" style="292"/>
    <col min="11777" max="11778" width="2.7109375" style="292" customWidth="1"/>
    <col min="11779" max="11779" width="15.85546875" style="292" customWidth="1"/>
    <col min="11780" max="11780" width="3.7109375" style="292" customWidth="1"/>
    <col min="11781" max="11781" width="6.7109375" style="292" customWidth="1"/>
    <col min="11782" max="11782" width="2.7109375" style="292" customWidth="1"/>
    <col min="11783" max="11784" width="6.7109375" style="292" customWidth="1"/>
    <col min="11785" max="11789" width="5.7109375" style="292" customWidth="1"/>
    <col min="11790" max="11790" width="3.140625" style="292" bestFit="1" customWidth="1"/>
    <col min="11791" max="11791" width="5.7109375" style="292" customWidth="1"/>
    <col min="11792" max="11792" width="6.7109375" style="292" customWidth="1"/>
    <col min="11793" max="11793" width="7.7109375" style="292" customWidth="1"/>
    <col min="11794" max="11794" width="5.7109375" style="292" customWidth="1"/>
    <col min="11795" max="11795" width="6.7109375" style="292" customWidth="1"/>
    <col min="11796" max="11796" width="7.7109375" style="292" customWidth="1"/>
    <col min="11797" max="11797" width="5.7109375" style="292" customWidth="1"/>
    <col min="11798" max="11798" width="2.7109375" style="292" customWidth="1"/>
    <col min="11799" max="11800" width="9.140625" style="292"/>
    <col min="11801" max="11801" width="13.42578125" style="292" customWidth="1"/>
    <col min="11802" max="12032" width="9.140625" style="292"/>
    <col min="12033" max="12034" width="2.7109375" style="292" customWidth="1"/>
    <col min="12035" max="12035" width="15.85546875" style="292" customWidth="1"/>
    <col min="12036" max="12036" width="3.7109375" style="292" customWidth="1"/>
    <col min="12037" max="12037" width="6.7109375" style="292" customWidth="1"/>
    <col min="12038" max="12038" width="2.7109375" style="292" customWidth="1"/>
    <col min="12039" max="12040" width="6.7109375" style="292" customWidth="1"/>
    <col min="12041" max="12045" width="5.7109375" style="292" customWidth="1"/>
    <col min="12046" max="12046" width="3.140625" style="292" bestFit="1" customWidth="1"/>
    <col min="12047" max="12047" width="5.7109375" style="292" customWidth="1"/>
    <col min="12048" max="12048" width="6.7109375" style="292" customWidth="1"/>
    <col min="12049" max="12049" width="7.7109375" style="292" customWidth="1"/>
    <col min="12050" max="12050" width="5.7109375" style="292" customWidth="1"/>
    <col min="12051" max="12051" width="6.7109375" style="292" customWidth="1"/>
    <col min="12052" max="12052" width="7.7109375" style="292" customWidth="1"/>
    <col min="12053" max="12053" width="5.7109375" style="292" customWidth="1"/>
    <col min="12054" max="12054" width="2.7109375" style="292" customWidth="1"/>
    <col min="12055" max="12056" width="9.140625" style="292"/>
    <col min="12057" max="12057" width="13.42578125" style="292" customWidth="1"/>
    <col min="12058" max="12288" width="9.140625" style="292"/>
    <col min="12289" max="12290" width="2.7109375" style="292" customWidth="1"/>
    <col min="12291" max="12291" width="15.85546875" style="292" customWidth="1"/>
    <col min="12292" max="12292" width="3.7109375" style="292" customWidth="1"/>
    <col min="12293" max="12293" width="6.7109375" style="292" customWidth="1"/>
    <col min="12294" max="12294" width="2.7109375" style="292" customWidth="1"/>
    <col min="12295" max="12296" width="6.7109375" style="292" customWidth="1"/>
    <col min="12297" max="12301" width="5.7109375" style="292" customWidth="1"/>
    <col min="12302" max="12302" width="3.140625" style="292" bestFit="1" customWidth="1"/>
    <col min="12303" max="12303" width="5.7109375" style="292" customWidth="1"/>
    <col min="12304" max="12304" width="6.7109375" style="292" customWidth="1"/>
    <col min="12305" max="12305" width="7.7109375" style="292" customWidth="1"/>
    <col min="12306" max="12306" width="5.7109375" style="292" customWidth="1"/>
    <col min="12307" max="12307" width="6.7109375" style="292" customWidth="1"/>
    <col min="12308" max="12308" width="7.7109375" style="292" customWidth="1"/>
    <col min="12309" max="12309" width="5.7109375" style="292" customWidth="1"/>
    <col min="12310" max="12310" width="2.7109375" style="292" customWidth="1"/>
    <col min="12311" max="12312" width="9.140625" style="292"/>
    <col min="12313" max="12313" width="13.42578125" style="292" customWidth="1"/>
    <col min="12314" max="12544" width="9.140625" style="292"/>
    <col min="12545" max="12546" width="2.7109375" style="292" customWidth="1"/>
    <col min="12547" max="12547" width="15.85546875" style="292" customWidth="1"/>
    <col min="12548" max="12548" width="3.7109375" style="292" customWidth="1"/>
    <col min="12549" max="12549" width="6.7109375" style="292" customWidth="1"/>
    <col min="12550" max="12550" width="2.7109375" style="292" customWidth="1"/>
    <col min="12551" max="12552" width="6.7109375" style="292" customWidth="1"/>
    <col min="12553" max="12557" width="5.7109375" style="292" customWidth="1"/>
    <col min="12558" max="12558" width="3.140625" style="292" bestFit="1" customWidth="1"/>
    <col min="12559" max="12559" width="5.7109375" style="292" customWidth="1"/>
    <col min="12560" max="12560" width="6.7109375" style="292" customWidth="1"/>
    <col min="12561" max="12561" width="7.7109375" style="292" customWidth="1"/>
    <col min="12562" max="12562" width="5.7109375" style="292" customWidth="1"/>
    <col min="12563" max="12563" width="6.7109375" style="292" customWidth="1"/>
    <col min="12564" max="12564" width="7.7109375" style="292" customWidth="1"/>
    <col min="12565" max="12565" width="5.7109375" style="292" customWidth="1"/>
    <col min="12566" max="12566" width="2.7109375" style="292" customWidth="1"/>
    <col min="12567" max="12568" width="9.140625" style="292"/>
    <col min="12569" max="12569" width="13.42578125" style="292" customWidth="1"/>
    <col min="12570" max="12800" width="9.140625" style="292"/>
    <col min="12801" max="12802" width="2.7109375" style="292" customWidth="1"/>
    <col min="12803" max="12803" width="15.85546875" style="292" customWidth="1"/>
    <col min="12804" max="12804" width="3.7109375" style="292" customWidth="1"/>
    <col min="12805" max="12805" width="6.7109375" style="292" customWidth="1"/>
    <col min="12806" max="12806" width="2.7109375" style="292" customWidth="1"/>
    <col min="12807" max="12808" width="6.7109375" style="292" customWidth="1"/>
    <col min="12809" max="12813" width="5.7109375" style="292" customWidth="1"/>
    <col min="12814" max="12814" width="3.140625" style="292" bestFit="1" customWidth="1"/>
    <col min="12815" max="12815" width="5.7109375" style="292" customWidth="1"/>
    <col min="12816" max="12816" width="6.7109375" style="292" customWidth="1"/>
    <col min="12817" max="12817" width="7.7109375" style="292" customWidth="1"/>
    <col min="12818" max="12818" width="5.7109375" style="292" customWidth="1"/>
    <col min="12819" max="12819" width="6.7109375" style="292" customWidth="1"/>
    <col min="12820" max="12820" width="7.7109375" style="292" customWidth="1"/>
    <col min="12821" max="12821" width="5.7109375" style="292" customWidth="1"/>
    <col min="12822" max="12822" width="2.7109375" style="292" customWidth="1"/>
    <col min="12823" max="12824" width="9.140625" style="292"/>
    <col min="12825" max="12825" width="13.42578125" style="292" customWidth="1"/>
    <col min="12826" max="13056" width="9.140625" style="292"/>
    <col min="13057" max="13058" width="2.7109375" style="292" customWidth="1"/>
    <col min="13059" max="13059" width="15.85546875" style="292" customWidth="1"/>
    <col min="13060" max="13060" width="3.7109375" style="292" customWidth="1"/>
    <col min="13061" max="13061" width="6.7109375" style="292" customWidth="1"/>
    <col min="13062" max="13062" width="2.7109375" style="292" customWidth="1"/>
    <col min="13063" max="13064" width="6.7109375" style="292" customWidth="1"/>
    <col min="13065" max="13069" width="5.7109375" style="292" customWidth="1"/>
    <col min="13070" max="13070" width="3.140625" style="292" bestFit="1" customWidth="1"/>
    <col min="13071" max="13071" width="5.7109375" style="292" customWidth="1"/>
    <col min="13072" max="13072" width="6.7109375" style="292" customWidth="1"/>
    <col min="13073" max="13073" width="7.7109375" style="292" customWidth="1"/>
    <col min="13074" max="13074" width="5.7109375" style="292" customWidth="1"/>
    <col min="13075" max="13075" width="6.7109375" style="292" customWidth="1"/>
    <col min="13076" max="13076" width="7.7109375" style="292" customWidth="1"/>
    <col min="13077" max="13077" width="5.7109375" style="292" customWidth="1"/>
    <col min="13078" max="13078" width="2.7109375" style="292" customWidth="1"/>
    <col min="13079" max="13080" width="9.140625" style="292"/>
    <col min="13081" max="13081" width="13.42578125" style="292" customWidth="1"/>
    <col min="13082" max="13312" width="9.140625" style="292"/>
    <col min="13313" max="13314" width="2.7109375" style="292" customWidth="1"/>
    <col min="13315" max="13315" width="15.85546875" style="292" customWidth="1"/>
    <col min="13316" max="13316" width="3.7109375" style="292" customWidth="1"/>
    <col min="13317" max="13317" width="6.7109375" style="292" customWidth="1"/>
    <col min="13318" max="13318" width="2.7109375" style="292" customWidth="1"/>
    <col min="13319" max="13320" width="6.7109375" style="292" customWidth="1"/>
    <col min="13321" max="13325" width="5.7109375" style="292" customWidth="1"/>
    <col min="13326" max="13326" width="3.140625" style="292" bestFit="1" customWidth="1"/>
    <col min="13327" max="13327" width="5.7109375" style="292" customWidth="1"/>
    <col min="13328" max="13328" width="6.7109375" style="292" customWidth="1"/>
    <col min="13329" max="13329" width="7.7109375" style="292" customWidth="1"/>
    <col min="13330" max="13330" width="5.7109375" style="292" customWidth="1"/>
    <col min="13331" max="13331" width="6.7109375" style="292" customWidth="1"/>
    <col min="13332" max="13332" width="7.7109375" style="292" customWidth="1"/>
    <col min="13333" max="13333" width="5.7109375" style="292" customWidth="1"/>
    <col min="13334" max="13334" width="2.7109375" style="292" customWidth="1"/>
    <col min="13335" max="13336" width="9.140625" style="292"/>
    <col min="13337" max="13337" width="13.42578125" style="292" customWidth="1"/>
    <col min="13338" max="13568" width="9.140625" style="292"/>
    <col min="13569" max="13570" width="2.7109375" style="292" customWidth="1"/>
    <col min="13571" max="13571" width="15.85546875" style="292" customWidth="1"/>
    <col min="13572" max="13572" width="3.7109375" style="292" customWidth="1"/>
    <col min="13573" max="13573" width="6.7109375" style="292" customWidth="1"/>
    <col min="13574" max="13574" width="2.7109375" style="292" customWidth="1"/>
    <col min="13575" max="13576" width="6.7109375" style="292" customWidth="1"/>
    <col min="13577" max="13581" width="5.7109375" style="292" customWidth="1"/>
    <col min="13582" max="13582" width="3.140625" style="292" bestFit="1" customWidth="1"/>
    <col min="13583" max="13583" width="5.7109375" style="292" customWidth="1"/>
    <col min="13584" max="13584" width="6.7109375" style="292" customWidth="1"/>
    <col min="13585" max="13585" width="7.7109375" style="292" customWidth="1"/>
    <col min="13586" max="13586" width="5.7109375" style="292" customWidth="1"/>
    <col min="13587" max="13587" width="6.7109375" style="292" customWidth="1"/>
    <col min="13588" max="13588" width="7.7109375" style="292" customWidth="1"/>
    <col min="13589" max="13589" width="5.7109375" style="292" customWidth="1"/>
    <col min="13590" max="13590" width="2.7109375" style="292" customWidth="1"/>
    <col min="13591" max="13592" width="9.140625" style="292"/>
    <col min="13593" max="13593" width="13.42578125" style="292" customWidth="1"/>
    <col min="13594" max="13824" width="9.140625" style="292"/>
    <col min="13825" max="13826" width="2.7109375" style="292" customWidth="1"/>
    <col min="13827" max="13827" width="15.85546875" style="292" customWidth="1"/>
    <col min="13828" max="13828" width="3.7109375" style="292" customWidth="1"/>
    <col min="13829" max="13829" width="6.7109375" style="292" customWidth="1"/>
    <col min="13830" max="13830" width="2.7109375" style="292" customWidth="1"/>
    <col min="13831" max="13832" width="6.7109375" style="292" customWidth="1"/>
    <col min="13833" max="13837" width="5.7109375" style="292" customWidth="1"/>
    <col min="13838" max="13838" width="3.140625" style="292" bestFit="1" customWidth="1"/>
    <col min="13839" max="13839" width="5.7109375" style="292" customWidth="1"/>
    <col min="13840" max="13840" width="6.7109375" style="292" customWidth="1"/>
    <col min="13841" max="13841" width="7.7109375" style="292" customWidth="1"/>
    <col min="13842" max="13842" width="5.7109375" style="292" customWidth="1"/>
    <col min="13843" max="13843" width="6.7109375" style="292" customWidth="1"/>
    <col min="13844" max="13844" width="7.7109375" style="292" customWidth="1"/>
    <col min="13845" max="13845" width="5.7109375" style="292" customWidth="1"/>
    <col min="13846" max="13846" width="2.7109375" style="292" customWidth="1"/>
    <col min="13847" max="13848" width="9.140625" style="292"/>
    <col min="13849" max="13849" width="13.42578125" style="292" customWidth="1"/>
    <col min="13850" max="14080" width="9.140625" style="292"/>
    <col min="14081" max="14082" width="2.7109375" style="292" customWidth="1"/>
    <col min="14083" max="14083" width="15.85546875" style="292" customWidth="1"/>
    <col min="14084" max="14084" width="3.7109375" style="292" customWidth="1"/>
    <col min="14085" max="14085" width="6.7109375" style="292" customWidth="1"/>
    <col min="14086" max="14086" width="2.7109375" style="292" customWidth="1"/>
    <col min="14087" max="14088" width="6.7109375" style="292" customWidth="1"/>
    <col min="14089" max="14093" width="5.7109375" style="292" customWidth="1"/>
    <col min="14094" max="14094" width="3.140625" style="292" bestFit="1" customWidth="1"/>
    <col min="14095" max="14095" width="5.7109375" style="292" customWidth="1"/>
    <col min="14096" max="14096" width="6.7109375" style="292" customWidth="1"/>
    <col min="14097" max="14097" width="7.7109375" style="292" customWidth="1"/>
    <col min="14098" max="14098" width="5.7109375" style="292" customWidth="1"/>
    <col min="14099" max="14099" width="6.7109375" style="292" customWidth="1"/>
    <col min="14100" max="14100" width="7.7109375" style="292" customWidth="1"/>
    <col min="14101" max="14101" width="5.7109375" style="292" customWidth="1"/>
    <col min="14102" max="14102" width="2.7109375" style="292" customWidth="1"/>
    <col min="14103" max="14104" width="9.140625" style="292"/>
    <col min="14105" max="14105" width="13.42578125" style="292" customWidth="1"/>
    <col min="14106" max="14336" width="9.140625" style="292"/>
    <col min="14337" max="14338" width="2.7109375" style="292" customWidth="1"/>
    <col min="14339" max="14339" width="15.85546875" style="292" customWidth="1"/>
    <col min="14340" max="14340" width="3.7109375" style="292" customWidth="1"/>
    <col min="14341" max="14341" width="6.7109375" style="292" customWidth="1"/>
    <col min="14342" max="14342" width="2.7109375" style="292" customWidth="1"/>
    <col min="14343" max="14344" width="6.7109375" style="292" customWidth="1"/>
    <col min="14345" max="14349" width="5.7109375" style="292" customWidth="1"/>
    <col min="14350" max="14350" width="3.140625" style="292" bestFit="1" customWidth="1"/>
    <col min="14351" max="14351" width="5.7109375" style="292" customWidth="1"/>
    <col min="14352" max="14352" width="6.7109375" style="292" customWidth="1"/>
    <col min="14353" max="14353" width="7.7109375" style="292" customWidth="1"/>
    <col min="14354" max="14354" width="5.7109375" style="292" customWidth="1"/>
    <col min="14355" max="14355" width="6.7109375" style="292" customWidth="1"/>
    <col min="14356" max="14356" width="7.7109375" style="292" customWidth="1"/>
    <col min="14357" max="14357" width="5.7109375" style="292" customWidth="1"/>
    <col min="14358" max="14358" width="2.7109375" style="292" customWidth="1"/>
    <col min="14359" max="14360" width="9.140625" style="292"/>
    <col min="14361" max="14361" width="13.42578125" style="292" customWidth="1"/>
    <col min="14362" max="14592" width="9.140625" style="292"/>
    <col min="14593" max="14594" width="2.7109375" style="292" customWidth="1"/>
    <col min="14595" max="14595" width="15.85546875" style="292" customWidth="1"/>
    <col min="14596" max="14596" width="3.7109375" style="292" customWidth="1"/>
    <col min="14597" max="14597" width="6.7109375" style="292" customWidth="1"/>
    <col min="14598" max="14598" width="2.7109375" style="292" customWidth="1"/>
    <col min="14599" max="14600" width="6.7109375" style="292" customWidth="1"/>
    <col min="14601" max="14605" width="5.7109375" style="292" customWidth="1"/>
    <col min="14606" max="14606" width="3.140625" style="292" bestFit="1" customWidth="1"/>
    <col min="14607" max="14607" width="5.7109375" style="292" customWidth="1"/>
    <col min="14608" max="14608" width="6.7109375" style="292" customWidth="1"/>
    <col min="14609" max="14609" width="7.7109375" style="292" customWidth="1"/>
    <col min="14610" max="14610" width="5.7109375" style="292" customWidth="1"/>
    <col min="14611" max="14611" width="6.7109375" style="292" customWidth="1"/>
    <col min="14612" max="14612" width="7.7109375" style="292" customWidth="1"/>
    <col min="14613" max="14613" width="5.7109375" style="292" customWidth="1"/>
    <col min="14614" max="14614" width="2.7109375" style="292" customWidth="1"/>
    <col min="14615" max="14616" width="9.140625" style="292"/>
    <col min="14617" max="14617" width="13.42578125" style="292" customWidth="1"/>
    <col min="14618" max="14848" width="9.140625" style="292"/>
    <col min="14849" max="14850" width="2.7109375" style="292" customWidth="1"/>
    <col min="14851" max="14851" width="15.85546875" style="292" customWidth="1"/>
    <col min="14852" max="14852" width="3.7109375" style="292" customWidth="1"/>
    <col min="14853" max="14853" width="6.7109375" style="292" customWidth="1"/>
    <col min="14854" max="14854" width="2.7109375" style="292" customWidth="1"/>
    <col min="14855" max="14856" width="6.7109375" style="292" customWidth="1"/>
    <col min="14857" max="14861" width="5.7109375" style="292" customWidth="1"/>
    <col min="14862" max="14862" width="3.140625" style="292" bestFit="1" customWidth="1"/>
    <col min="14863" max="14863" width="5.7109375" style="292" customWidth="1"/>
    <col min="14864" max="14864" width="6.7109375" style="292" customWidth="1"/>
    <col min="14865" max="14865" width="7.7109375" style="292" customWidth="1"/>
    <col min="14866" max="14866" width="5.7109375" style="292" customWidth="1"/>
    <col min="14867" max="14867" width="6.7109375" style="292" customWidth="1"/>
    <col min="14868" max="14868" width="7.7109375" style="292" customWidth="1"/>
    <col min="14869" max="14869" width="5.7109375" style="292" customWidth="1"/>
    <col min="14870" max="14870" width="2.7109375" style="292" customWidth="1"/>
    <col min="14871" max="14872" width="9.140625" style="292"/>
    <col min="14873" max="14873" width="13.42578125" style="292" customWidth="1"/>
    <col min="14874" max="15104" width="9.140625" style="292"/>
    <col min="15105" max="15106" width="2.7109375" style="292" customWidth="1"/>
    <col min="15107" max="15107" width="15.85546875" style="292" customWidth="1"/>
    <col min="15108" max="15108" width="3.7109375" style="292" customWidth="1"/>
    <col min="15109" max="15109" width="6.7109375" style="292" customWidth="1"/>
    <col min="15110" max="15110" width="2.7109375" style="292" customWidth="1"/>
    <col min="15111" max="15112" width="6.7109375" style="292" customWidth="1"/>
    <col min="15113" max="15117" width="5.7109375" style="292" customWidth="1"/>
    <col min="15118" max="15118" width="3.140625" style="292" bestFit="1" customWidth="1"/>
    <col min="15119" max="15119" width="5.7109375" style="292" customWidth="1"/>
    <col min="15120" max="15120" width="6.7109375" style="292" customWidth="1"/>
    <col min="15121" max="15121" width="7.7109375" style="292" customWidth="1"/>
    <col min="15122" max="15122" width="5.7109375" style="292" customWidth="1"/>
    <col min="15123" max="15123" width="6.7109375" style="292" customWidth="1"/>
    <col min="15124" max="15124" width="7.7109375" style="292" customWidth="1"/>
    <col min="15125" max="15125" width="5.7109375" style="292" customWidth="1"/>
    <col min="15126" max="15126" width="2.7109375" style="292" customWidth="1"/>
    <col min="15127" max="15128" width="9.140625" style="292"/>
    <col min="15129" max="15129" width="13.42578125" style="292" customWidth="1"/>
    <col min="15130" max="15360" width="9.140625" style="292"/>
    <col min="15361" max="15362" width="2.7109375" style="292" customWidth="1"/>
    <col min="15363" max="15363" width="15.85546875" style="292" customWidth="1"/>
    <col min="15364" max="15364" width="3.7109375" style="292" customWidth="1"/>
    <col min="15365" max="15365" width="6.7109375" style="292" customWidth="1"/>
    <col min="15366" max="15366" width="2.7109375" style="292" customWidth="1"/>
    <col min="15367" max="15368" width="6.7109375" style="292" customWidth="1"/>
    <col min="15369" max="15373" width="5.7109375" style="292" customWidth="1"/>
    <col min="15374" max="15374" width="3.140625" style="292" bestFit="1" customWidth="1"/>
    <col min="15375" max="15375" width="5.7109375" style="292" customWidth="1"/>
    <col min="15376" max="15376" width="6.7109375" style="292" customWidth="1"/>
    <col min="15377" max="15377" width="7.7109375" style="292" customWidth="1"/>
    <col min="15378" max="15378" width="5.7109375" style="292" customWidth="1"/>
    <col min="15379" max="15379" width="6.7109375" style="292" customWidth="1"/>
    <col min="15380" max="15380" width="7.7109375" style="292" customWidth="1"/>
    <col min="15381" max="15381" width="5.7109375" style="292" customWidth="1"/>
    <col min="15382" max="15382" width="2.7109375" style="292" customWidth="1"/>
    <col min="15383" max="15384" width="9.140625" style="292"/>
    <col min="15385" max="15385" width="13.42578125" style="292" customWidth="1"/>
    <col min="15386" max="15616" width="9.140625" style="292"/>
    <col min="15617" max="15618" width="2.7109375" style="292" customWidth="1"/>
    <col min="15619" max="15619" width="15.85546875" style="292" customWidth="1"/>
    <col min="15620" max="15620" width="3.7109375" style="292" customWidth="1"/>
    <col min="15621" max="15621" width="6.7109375" style="292" customWidth="1"/>
    <col min="15622" max="15622" width="2.7109375" style="292" customWidth="1"/>
    <col min="15623" max="15624" width="6.7109375" style="292" customWidth="1"/>
    <col min="15625" max="15629" width="5.7109375" style="292" customWidth="1"/>
    <col min="15630" max="15630" width="3.140625" style="292" bestFit="1" customWidth="1"/>
    <col min="15631" max="15631" width="5.7109375" style="292" customWidth="1"/>
    <col min="15632" max="15632" width="6.7109375" style="292" customWidth="1"/>
    <col min="15633" max="15633" width="7.7109375" style="292" customWidth="1"/>
    <col min="15634" max="15634" width="5.7109375" style="292" customWidth="1"/>
    <col min="15635" max="15635" width="6.7109375" style="292" customWidth="1"/>
    <col min="15636" max="15636" width="7.7109375" style="292" customWidth="1"/>
    <col min="15637" max="15637" width="5.7109375" style="292" customWidth="1"/>
    <col min="15638" max="15638" width="2.7109375" style="292" customWidth="1"/>
    <col min="15639" max="15640" width="9.140625" style="292"/>
    <col min="15641" max="15641" width="13.42578125" style="292" customWidth="1"/>
    <col min="15642" max="15872" width="9.140625" style="292"/>
    <col min="15873" max="15874" width="2.7109375" style="292" customWidth="1"/>
    <col min="15875" max="15875" width="15.85546875" style="292" customWidth="1"/>
    <col min="15876" max="15876" width="3.7109375" style="292" customWidth="1"/>
    <col min="15877" max="15877" width="6.7109375" style="292" customWidth="1"/>
    <col min="15878" max="15878" width="2.7109375" style="292" customWidth="1"/>
    <col min="15879" max="15880" width="6.7109375" style="292" customWidth="1"/>
    <col min="15881" max="15885" width="5.7109375" style="292" customWidth="1"/>
    <col min="15886" max="15886" width="3.140625" style="292" bestFit="1" customWidth="1"/>
    <col min="15887" max="15887" width="5.7109375" style="292" customWidth="1"/>
    <col min="15888" max="15888" width="6.7109375" style="292" customWidth="1"/>
    <col min="15889" max="15889" width="7.7109375" style="292" customWidth="1"/>
    <col min="15890" max="15890" width="5.7109375" style="292" customWidth="1"/>
    <col min="15891" max="15891" width="6.7109375" style="292" customWidth="1"/>
    <col min="15892" max="15892" width="7.7109375" style="292" customWidth="1"/>
    <col min="15893" max="15893" width="5.7109375" style="292" customWidth="1"/>
    <col min="15894" max="15894" width="2.7109375" style="292" customWidth="1"/>
    <col min="15895" max="15896" width="9.140625" style="292"/>
    <col min="15897" max="15897" width="13.42578125" style="292" customWidth="1"/>
    <col min="15898" max="16128" width="9.140625" style="292"/>
    <col min="16129" max="16130" width="2.7109375" style="292" customWidth="1"/>
    <col min="16131" max="16131" width="15.85546875" style="292" customWidth="1"/>
    <col min="16132" max="16132" width="3.7109375" style="292" customWidth="1"/>
    <col min="16133" max="16133" width="6.7109375" style="292" customWidth="1"/>
    <col min="16134" max="16134" width="2.7109375" style="292" customWidth="1"/>
    <col min="16135" max="16136" width="6.7109375" style="292" customWidth="1"/>
    <col min="16137" max="16141" width="5.7109375" style="292" customWidth="1"/>
    <col min="16142" max="16142" width="3.140625" style="292" bestFit="1" customWidth="1"/>
    <col min="16143" max="16143" width="5.7109375" style="292" customWidth="1"/>
    <col min="16144" max="16144" width="6.7109375" style="292" customWidth="1"/>
    <col min="16145" max="16145" width="7.7109375" style="292" customWidth="1"/>
    <col min="16146" max="16146" width="5.7109375" style="292" customWidth="1"/>
    <col min="16147" max="16147" width="6.7109375" style="292" customWidth="1"/>
    <col min="16148" max="16148" width="7.7109375" style="292" customWidth="1"/>
    <col min="16149" max="16149" width="5.7109375" style="292" customWidth="1"/>
    <col min="16150" max="16150" width="2.7109375" style="292" customWidth="1"/>
    <col min="16151" max="16152" width="9.140625" style="292"/>
    <col min="16153" max="16153" width="13.42578125" style="292" customWidth="1"/>
    <col min="16154" max="16384" width="9.140625" style="292"/>
  </cols>
  <sheetData>
    <row r="1" spans="1:24" x14ac:dyDescent="0.2">
      <c r="A1" s="290"/>
      <c r="C1" s="381"/>
      <c r="D1" s="290"/>
      <c r="E1" s="290"/>
      <c r="F1" s="290"/>
      <c r="G1" s="290"/>
      <c r="H1" s="290"/>
      <c r="I1" s="381"/>
      <c r="J1" s="381" t="s">
        <v>374</v>
      </c>
      <c r="K1" s="291"/>
      <c r="L1" s="291"/>
      <c r="M1" s="291"/>
      <c r="N1" s="380"/>
      <c r="O1" s="382"/>
      <c r="P1" s="382"/>
      <c r="Q1" s="382"/>
      <c r="R1" s="382"/>
      <c r="S1" s="382"/>
      <c r="T1" s="713" t="s">
        <v>697</v>
      </c>
      <c r="U1" s="713"/>
      <c r="V1" s="713"/>
    </row>
    <row r="2" spans="1:24" ht="15" x14ac:dyDescent="0.25">
      <c r="A2" s="290"/>
      <c r="C2" s="38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380"/>
      <c r="O2" s="291"/>
      <c r="P2" s="291"/>
      <c r="Q2" s="291"/>
      <c r="R2" s="383"/>
      <c r="S2" s="383"/>
      <c r="T2" s="714" t="s">
        <v>377</v>
      </c>
      <c r="U2" s="714"/>
      <c r="V2" s="714"/>
      <c r="W2" s="638" t="s">
        <v>781</v>
      </c>
      <c r="X2" s="638"/>
    </row>
    <row r="3" spans="1:24" x14ac:dyDescent="0.2">
      <c r="A3" s="291"/>
      <c r="B3" s="361"/>
      <c r="C3" s="384"/>
      <c r="D3" s="291"/>
      <c r="E3" s="291"/>
      <c r="F3" s="291"/>
      <c r="G3" s="291"/>
      <c r="H3" s="657" t="s">
        <v>423</v>
      </c>
      <c r="I3" s="657"/>
      <c r="J3" s="657"/>
      <c r="K3" s="657"/>
      <c r="L3" s="657"/>
      <c r="M3" s="657"/>
      <c r="N3" s="385"/>
      <c r="O3" s="291"/>
      <c r="P3" s="291"/>
      <c r="Q3" s="291"/>
      <c r="R3" s="383"/>
      <c r="S3" s="383"/>
      <c r="T3" s="714" t="s">
        <v>655</v>
      </c>
      <c r="U3" s="714"/>
      <c r="V3" s="714"/>
    </row>
    <row r="4" spans="1:24" ht="13.5" thickBot="1" x14ac:dyDescent="0.25">
      <c r="A4" s="712" t="s">
        <v>18</v>
      </c>
      <c r="B4" s="712"/>
      <c r="C4" s="712"/>
      <c r="D4" s="386"/>
      <c r="E4" s="386"/>
      <c r="F4" s="386"/>
      <c r="G4" s="386"/>
      <c r="H4" s="656" t="s">
        <v>671</v>
      </c>
      <c r="I4" s="656"/>
      <c r="J4" s="656"/>
      <c r="K4" s="656"/>
      <c r="L4" s="656"/>
      <c r="M4" s="656"/>
      <c r="N4" s="387"/>
      <c r="O4" s="363"/>
      <c r="P4" s="363"/>
      <c r="Q4" s="363"/>
      <c r="R4" s="363"/>
      <c r="S4" s="363"/>
      <c r="T4" s="715" t="s">
        <v>380</v>
      </c>
      <c r="U4" s="715"/>
      <c r="V4" s="715"/>
    </row>
    <row r="5" spans="1:24" x14ac:dyDescent="0.2">
      <c r="A5" s="388"/>
      <c r="B5" s="291"/>
      <c r="C5" s="384"/>
      <c r="D5" s="389"/>
      <c r="E5" s="372" t="s">
        <v>367</v>
      </c>
      <c r="F5" s="374"/>
      <c r="G5" s="372" t="s">
        <v>368</v>
      </c>
      <c r="H5" s="374"/>
      <c r="I5" s="390" t="s">
        <v>369</v>
      </c>
      <c r="J5" s="373"/>
      <c r="K5" s="373"/>
      <c r="L5" s="373"/>
      <c r="M5" s="373"/>
      <c r="N5" s="391"/>
      <c r="O5" s="373"/>
      <c r="P5" s="392"/>
      <c r="Q5" s="372" t="s">
        <v>381</v>
      </c>
      <c r="R5" s="373"/>
      <c r="S5" s="392"/>
      <c r="T5" s="393"/>
      <c r="U5" s="369"/>
      <c r="V5" s="394"/>
    </row>
    <row r="6" spans="1:24" x14ac:dyDescent="0.2">
      <c r="A6" s="395" t="s">
        <v>555</v>
      </c>
      <c r="B6" s="375"/>
      <c r="C6" s="396"/>
      <c r="D6" s="397" t="s">
        <v>383</v>
      </c>
      <c r="E6" s="311"/>
      <c r="F6" s="398"/>
      <c r="G6" s="399" t="s">
        <v>12</v>
      </c>
      <c r="H6" s="400" t="s">
        <v>384</v>
      </c>
      <c r="I6" s="401"/>
      <c r="J6" s="402" t="s">
        <v>385</v>
      </c>
      <c r="K6" s="402" t="s">
        <v>370</v>
      </c>
      <c r="L6" s="402" t="s">
        <v>370</v>
      </c>
      <c r="M6" s="402"/>
      <c r="N6" s="403"/>
      <c r="O6" s="399" t="s">
        <v>386</v>
      </c>
      <c r="P6" s="400" t="s">
        <v>387</v>
      </c>
      <c r="Q6" s="402" t="s">
        <v>388</v>
      </c>
      <c r="R6" s="402" t="s">
        <v>385</v>
      </c>
      <c r="S6" s="404" t="s">
        <v>388</v>
      </c>
      <c r="T6" s="405" t="s">
        <v>14</v>
      </c>
      <c r="U6" s="297" t="s">
        <v>12</v>
      </c>
      <c r="V6" s="406"/>
    </row>
    <row r="7" spans="1:24" ht="23.25" thickBot="1" x14ac:dyDescent="0.25">
      <c r="A7" s="407" t="s">
        <v>389</v>
      </c>
      <c r="B7" s="408"/>
      <c r="C7" s="409"/>
      <c r="D7" s="410" t="s">
        <v>6</v>
      </c>
      <c r="E7" s="411" t="s">
        <v>14</v>
      </c>
      <c r="F7" s="412" t="s">
        <v>12</v>
      </c>
      <c r="G7" s="408" t="s">
        <v>390</v>
      </c>
      <c r="H7" s="413" t="s">
        <v>13</v>
      </c>
      <c r="I7" s="414" t="s">
        <v>370</v>
      </c>
      <c r="J7" s="415" t="s">
        <v>391</v>
      </c>
      <c r="K7" s="415" t="s">
        <v>392</v>
      </c>
      <c r="L7" s="415" t="s">
        <v>393</v>
      </c>
      <c r="M7" s="415" t="s">
        <v>371</v>
      </c>
      <c r="N7" s="416" t="s">
        <v>394</v>
      </c>
      <c r="O7" s="408" t="s">
        <v>395</v>
      </c>
      <c r="P7" s="413" t="s">
        <v>13</v>
      </c>
      <c r="Q7" s="415" t="s">
        <v>396</v>
      </c>
      <c r="R7" s="415" t="s">
        <v>390</v>
      </c>
      <c r="S7" s="413" t="s">
        <v>13</v>
      </c>
      <c r="T7" s="417" t="s">
        <v>390</v>
      </c>
      <c r="U7" s="408" t="s">
        <v>390</v>
      </c>
      <c r="V7" s="418" t="s">
        <v>12</v>
      </c>
    </row>
    <row r="8" spans="1:24" ht="13.5" thickTop="1" x14ac:dyDescent="0.2">
      <c r="A8" s="419"/>
      <c r="B8" s="420"/>
      <c r="C8" s="421"/>
      <c r="D8" s="422"/>
      <c r="E8" s="422"/>
      <c r="F8" s="422"/>
      <c r="G8" s="423"/>
      <c r="H8" s="424">
        <f t="shared" ref="H8:H43" si="0">G8*E8</f>
        <v>0</v>
      </c>
      <c r="I8" s="425"/>
      <c r="J8" s="422"/>
      <c r="K8" s="263"/>
      <c r="L8" s="422"/>
      <c r="M8" s="422"/>
      <c r="N8" s="426"/>
      <c r="O8" s="423"/>
      <c r="P8" s="427"/>
      <c r="Q8" s="428"/>
      <c r="R8" s="423"/>
      <c r="S8" s="424"/>
      <c r="T8" s="429"/>
      <c r="U8" s="425"/>
      <c r="V8" s="430"/>
    </row>
    <row r="9" spans="1:24" ht="15" x14ac:dyDescent="0.25">
      <c r="A9" s="431"/>
      <c r="B9" s="281"/>
      <c r="C9" s="432" t="s">
        <v>325</v>
      </c>
      <c r="D9" s="575">
        <v>1</v>
      </c>
      <c r="E9" s="433">
        <f>'Site Work'!M8</f>
        <v>0.53753443526170797</v>
      </c>
      <c r="F9" s="263" t="s">
        <v>328</v>
      </c>
      <c r="G9" s="434"/>
      <c r="H9" s="435">
        <f t="shared" si="0"/>
        <v>0</v>
      </c>
      <c r="I9" s="436" t="s">
        <v>398</v>
      </c>
      <c r="J9" s="263">
        <v>1</v>
      </c>
      <c r="K9" s="263">
        <f>E9/J9</f>
        <v>0.53753443526170797</v>
      </c>
      <c r="L9" s="263">
        <f>8*K9</f>
        <v>4.3002754820936637</v>
      </c>
      <c r="M9" s="263" t="s">
        <v>399</v>
      </c>
      <c r="N9" s="437">
        <v>1</v>
      </c>
      <c r="O9" s="434">
        <f>37.1/2</f>
        <v>18.55</v>
      </c>
      <c r="P9" s="438">
        <f>O12*L9</f>
        <v>481.73836088154269</v>
      </c>
      <c r="Q9" s="439" t="s">
        <v>402</v>
      </c>
      <c r="R9" s="434">
        <v>283.8</v>
      </c>
      <c r="S9" s="435">
        <f>R12*K9</f>
        <v>793.93836088154262</v>
      </c>
      <c r="T9" s="440">
        <f>S9+P9+H9</f>
        <v>1275.6767217630854</v>
      </c>
      <c r="U9" s="436">
        <f>T9/E9</f>
        <v>2373.2000000000003</v>
      </c>
      <c r="V9" s="441" t="str">
        <f>F9</f>
        <v>ac</v>
      </c>
    </row>
    <row r="10" spans="1:24" x14ac:dyDescent="0.2">
      <c r="A10" s="431"/>
      <c r="B10" s="281"/>
      <c r="C10" s="432"/>
      <c r="D10" s="263"/>
      <c r="E10" s="263"/>
      <c r="F10" s="263"/>
      <c r="G10" s="434"/>
      <c r="H10" s="435">
        <f t="shared" si="0"/>
        <v>0</v>
      </c>
      <c r="I10" s="436"/>
      <c r="J10" s="263"/>
      <c r="K10" s="263"/>
      <c r="L10" s="263"/>
      <c r="M10" s="442" t="s">
        <v>400</v>
      </c>
      <c r="N10" s="443">
        <v>4</v>
      </c>
      <c r="O10" s="434">
        <f>35.1/2</f>
        <v>17.55</v>
      </c>
      <c r="P10" s="438"/>
      <c r="Q10" s="439" t="s">
        <v>403</v>
      </c>
      <c r="R10" s="434">
        <v>1106</v>
      </c>
      <c r="S10" s="435"/>
      <c r="T10" s="440"/>
      <c r="U10" s="436"/>
      <c r="V10" s="441"/>
    </row>
    <row r="11" spans="1:24" x14ac:dyDescent="0.2">
      <c r="A11" s="444"/>
      <c r="B11" s="281"/>
      <c r="C11" s="432"/>
      <c r="D11" s="263"/>
      <c r="E11" s="263"/>
      <c r="F11" s="263"/>
      <c r="G11" s="434"/>
      <c r="H11" s="435">
        <f t="shared" si="0"/>
        <v>0</v>
      </c>
      <c r="I11" s="436"/>
      <c r="J11" s="263"/>
      <c r="K11" s="263"/>
      <c r="L11" s="263"/>
      <c r="M11" s="263" t="s">
        <v>401</v>
      </c>
      <c r="N11" s="437">
        <v>1</v>
      </c>
      <c r="O11" s="434">
        <f>46.55/2</f>
        <v>23.274999999999999</v>
      </c>
      <c r="P11" s="438"/>
      <c r="Q11" s="439" t="s">
        <v>404</v>
      </c>
      <c r="R11" s="434">
        <v>87.2</v>
      </c>
      <c r="S11" s="435"/>
      <c r="T11" s="440"/>
      <c r="U11" s="436"/>
      <c r="V11" s="441"/>
    </row>
    <row r="12" spans="1:24" x14ac:dyDescent="0.2">
      <c r="A12" s="431"/>
      <c r="B12" s="281"/>
      <c r="C12" s="432"/>
      <c r="D12" s="263"/>
      <c r="E12" s="263"/>
      <c r="F12" s="263"/>
      <c r="G12" s="434"/>
      <c r="H12" s="435">
        <f t="shared" si="0"/>
        <v>0</v>
      </c>
      <c r="I12" s="436"/>
      <c r="J12" s="263"/>
      <c r="K12" s="263"/>
      <c r="L12" s="263"/>
      <c r="M12" s="263"/>
      <c r="N12" s="437"/>
      <c r="O12" s="434">
        <f>(O10*4)+O9+O11</f>
        <v>112.02500000000001</v>
      </c>
      <c r="P12" s="438"/>
      <c r="Q12" s="439"/>
      <c r="R12" s="434">
        <f>SUM(R9:R11)</f>
        <v>1477</v>
      </c>
      <c r="S12" s="435"/>
      <c r="T12" s="440"/>
      <c r="U12" s="436"/>
      <c r="V12" s="441"/>
    </row>
    <row r="13" spans="1:24" x14ac:dyDescent="0.2">
      <c r="A13" s="431"/>
      <c r="B13" s="281"/>
      <c r="C13" s="432"/>
      <c r="D13" s="263"/>
      <c r="E13" s="263"/>
      <c r="F13" s="263"/>
      <c r="G13" s="434"/>
      <c r="H13" s="435">
        <f t="shared" si="0"/>
        <v>0</v>
      </c>
      <c r="I13" s="436"/>
      <c r="J13" s="263"/>
      <c r="K13" s="263"/>
      <c r="L13" s="263"/>
      <c r="M13" s="263"/>
      <c r="N13" s="437"/>
      <c r="O13" s="434"/>
      <c r="P13" s="438"/>
      <c r="Q13" s="439"/>
      <c r="R13" s="434"/>
      <c r="S13" s="435"/>
      <c r="T13" s="440"/>
      <c r="U13" s="436"/>
      <c r="V13" s="441"/>
    </row>
    <row r="14" spans="1:24" ht="15" x14ac:dyDescent="0.25">
      <c r="A14" s="444"/>
      <c r="B14" s="281"/>
      <c r="C14" s="432" t="s">
        <v>405</v>
      </c>
      <c r="D14" s="575">
        <v>1</v>
      </c>
      <c r="E14" s="263">
        <f>'Site Work'!M11</f>
        <v>427</v>
      </c>
      <c r="F14" s="263" t="s">
        <v>330</v>
      </c>
      <c r="G14" s="434"/>
      <c r="H14" s="435">
        <f t="shared" si="0"/>
        <v>0</v>
      </c>
      <c r="I14" s="436" t="s">
        <v>406</v>
      </c>
      <c r="J14" s="263">
        <v>2300</v>
      </c>
      <c r="K14" s="433">
        <f>E14/J14</f>
        <v>0.18565217391304348</v>
      </c>
      <c r="L14" s="263">
        <f>8*K14</f>
        <v>1.4852173913043478</v>
      </c>
      <c r="M14" s="263" t="s">
        <v>407</v>
      </c>
      <c r="N14" s="437">
        <v>1</v>
      </c>
      <c r="O14" s="434">
        <f>46.55/2</f>
        <v>23.274999999999999</v>
      </c>
      <c r="P14" s="438">
        <f>O16*L14</f>
        <v>47.601217391304345</v>
      </c>
      <c r="Q14" s="439" t="s">
        <v>408</v>
      </c>
      <c r="R14" s="434">
        <v>1243</v>
      </c>
      <c r="S14" s="435">
        <f>R14*K14</f>
        <v>230.76565217391305</v>
      </c>
      <c r="T14" s="440">
        <f>S14+P14+H14</f>
        <v>278.36686956521737</v>
      </c>
      <c r="U14" s="436">
        <f>T14/E14</f>
        <v>0.65191304347826085</v>
      </c>
      <c r="V14" s="441" t="str">
        <f>F14</f>
        <v>bcy</v>
      </c>
    </row>
    <row r="15" spans="1:24" x14ac:dyDescent="0.2">
      <c r="A15" s="431"/>
      <c r="B15" s="281"/>
      <c r="C15" s="432"/>
      <c r="D15" s="263"/>
      <c r="E15" s="263"/>
      <c r="F15" s="263"/>
      <c r="G15" s="434"/>
      <c r="H15" s="435">
        <f t="shared" si="0"/>
        <v>0</v>
      </c>
      <c r="I15" s="436"/>
      <c r="J15" s="263"/>
      <c r="K15" s="263"/>
      <c r="L15" s="263"/>
      <c r="M15" s="263" t="s">
        <v>400</v>
      </c>
      <c r="N15" s="437">
        <v>0.5</v>
      </c>
      <c r="O15" s="434">
        <f>35.1/2</f>
        <v>17.55</v>
      </c>
      <c r="P15" s="438"/>
      <c r="Q15" s="439"/>
      <c r="R15" s="434"/>
      <c r="S15" s="435"/>
      <c r="T15" s="440"/>
      <c r="U15" s="436"/>
      <c r="V15" s="441"/>
    </row>
    <row r="16" spans="1:24" x14ac:dyDescent="0.2">
      <c r="A16" s="431"/>
      <c r="B16" s="281"/>
      <c r="C16" s="432"/>
      <c r="D16" s="263"/>
      <c r="E16" s="263"/>
      <c r="F16" s="263"/>
      <c r="G16" s="434"/>
      <c r="H16" s="435">
        <f t="shared" si="0"/>
        <v>0</v>
      </c>
      <c r="I16" s="436"/>
      <c r="J16" s="263"/>
      <c r="K16" s="263"/>
      <c r="L16" s="263"/>
      <c r="M16" s="263"/>
      <c r="N16" s="437"/>
      <c r="O16" s="434">
        <f>O14+(O15*N15)</f>
        <v>32.049999999999997</v>
      </c>
      <c r="P16" s="438"/>
      <c r="Q16" s="439"/>
      <c r="R16" s="434"/>
      <c r="S16" s="435"/>
      <c r="T16" s="440"/>
      <c r="U16" s="436"/>
      <c r="V16" s="441"/>
    </row>
    <row r="17" spans="1:22" x14ac:dyDescent="0.2">
      <c r="A17" s="444"/>
      <c r="B17" s="281"/>
      <c r="C17" s="432"/>
      <c r="D17" s="263"/>
      <c r="E17" s="263"/>
      <c r="F17" s="263"/>
      <c r="G17" s="434"/>
      <c r="H17" s="435">
        <f t="shared" si="0"/>
        <v>0</v>
      </c>
      <c r="I17" s="436"/>
      <c r="J17" s="263"/>
      <c r="K17" s="263"/>
      <c r="L17" s="263"/>
      <c r="M17" s="263"/>
      <c r="N17" s="437"/>
      <c r="O17" s="434"/>
      <c r="P17" s="438"/>
      <c r="Q17" s="439"/>
      <c r="R17" s="434"/>
      <c r="S17" s="435"/>
      <c r="T17" s="440"/>
      <c r="U17" s="436"/>
      <c r="V17" s="441"/>
    </row>
    <row r="18" spans="1:22" ht="15" x14ac:dyDescent="0.25">
      <c r="A18" s="431"/>
      <c r="B18" s="281"/>
      <c r="C18" s="432" t="s">
        <v>331</v>
      </c>
      <c r="D18" s="575">
        <v>1</v>
      </c>
      <c r="E18" s="263">
        <f>'Site Work'!M13</f>
        <v>1.2</v>
      </c>
      <c r="F18" s="263" t="s">
        <v>330</v>
      </c>
      <c r="G18" s="434"/>
      <c r="H18" s="435">
        <f t="shared" si="0"/>
        <v>0</v>
      </c>
      <c r="I18" s="436" t="s">
        <v>400</v>
      </c>
      <c r="J18" s="263">
        <v>2</v>
      </c>
      <c r="K18" s="263">
        <f>E18/J18</f>
        <v>0.6</v>
      </c>
      <c r="L18" s="263">
        <f>8*K18</f>
        <v>4.8</v>
      </c>
      <c r="M18" s="263" t="s">
        <v>400</v>
      </c>
      <c r="N18" s="437">
        <v>1</v>
      </c>
      <c r="O18" s="434">
        <f>35.1/2</f>
        <v>17.55</v>
      </c>
      <c r="P18" s="438">
        <f>O18*N18*L18</f>
        <v>84.24</v>
      </c>
      <c r="Q18" s="439"/>
      <c r="R18" s="434"/>
      <c r="S18" s="435"/>
      <c r="T18" s="440">
        <f>S18+P18+H18</f>
        <v>84.24</v>
      </c>
      <c r="U18" s="436">
        <f>T18/E18</f>
        <v>70.2</v>
      </c>
      <c r="V18" s="441" t="str">
        <f>F18</f>
        <v>bcy</v>
      </c>
    </row>
    <row r="19" spans="1:22" x14ac:dyDescent="0.2">
      <c r="A19" s="431"/>
      <c r="B19" s="281"/>
      <c r="C19" s="432"/>
      <c r="D19" s="263"/>
      <c r="E19" s="263"/>
      <c r="F19" s="263"/>
      <c r="G19" s="434"/>
      <c r="H19" s="435">
        <f t="shared" si="0"/>
        <v>0</v>
      </c>
      <c r="I19" s="436"/>
      <c r="J19" s="263"/>
      <c r="K19" s="263"/>
      <c r="L19" s="263"/>
      <c r="M19" s="263"/>
      <c r="N19" s="437"/>
      <c r="O19" s="434"/>
      <c r="P19" s="438"/>
      <c r="Q19" s="439"/>
      <c r="R19" s="434"/>
      <c r="S19" s="435"/>
      <c r="T19" s="440"/>
      <c r="U19" s="436"/>
      <c r="V19" s="441"/>
    </row>
    <row r="20" spans="1:22" ht="15" x14ac:dyDescent="0.25">
      <c r="A20" s="444"/>
      <c r="B20" s="281"/>
      <c r="C20" s="432" t="s">
        <v>332</v>
      </c>
      <c r="D20" s="575">
        <v>1</v>
      </c>
      <c r="E20" s="263">
        <f>'Site Work'!M15</f>
        <v>3228.75</v>
      </c>
      <c r="F20" s="263" t="s">
        <v>334</v>
      </c>
      <c r="G20" s="434">
        <v>14.04</v>
      </c>
      <c r="H20" s="435">
        <f t="shared" si="0"/>
        <v>45331.649999999994</v>
      </c>
      <c r="I20" s="436" t="s">
        <v>409</v>
      </c>
      <c r="J20" s="263">
        <v>600</v>
      </c>
      <c r="K20" s="263">
        <f>E20/J20</f>
        <v>5.3812499999999996</v>
      </c>
      <c r="L20" s="263">
        <f>8*K20</f>
        <v>43.05</v>
      </c>
      <c r="M20" s="263" t="s">
        <v>407</v>
      </c>
      <c r="N20" s="437">
        <v>1</v>
      </c>
      <c r="O20" s="434">
        <f>O14</f>
        <v>23.274999999999999</v>
      </c>
      <c r="P20" s="445">
        <f>O22*L20</f>
        <v>759.83249999999987</v>
      </c>
      <c r="Q20" s="439" t="s">
        <v>411</v>
      </c>
      <c r="R20" s="434">
        <v>564.79999999999995</v>
      </c>
      <c r="S20" s="435">
        <f>R22*K20</f>
        <v>9728.2237499999992</v>
      </c>
      <c r="T20" s="440">
        <f>S20+P20+H20</f>
        <v>55819.706249999996</v>
      </c>
      <c r="U20" s="436">
        <f>T20/E20</f>
        <v>17.28833333333333</v>
      </c>
      <c r="V20" s="441" t="str">
        <f>F20</f>
        <v>lcy</v>
      </c>
    </row>
    <row r="21" spans="1:22" x14ac:dyDescent="0.2">
      <c r="A21" s="431"/>
      <c r="B21" s="281"/>
      <c r="C21" s="432"/>
      <c r="D21" s="263"/>
      <c r="E21" s="263"/>
      <c r="F21" s="263"/>
      <c r="G21" s="434"/>
      <c r="H21" s="435">
        <f t="shared" si="0"/>
        <v>0</v>
      </c>
      <c r="I21" s="436"/>
      <c r="J21" s="263"/>
      <c r="K21" s="263"/>
      <c r="L21" s="263"/>
      <c r="M21" s="263" t="s">
        <v>400</v>
      </c>
      <c r="N21" s="437">
        <v>0.5</v>
      </c>
      <c r="O21" s="434">
        <f>O15</f>
        <v>17.55</v>
      </c>
      <c r="P21" s="438"/>
      <c r="Q21" s="439" t="s">
        <v>408</v>
      </c>
      <c r="R21" s="434">
        <v>1243</v>
      </c>
      <c r="S21" s="435"/>
      <c r="T21" s="440"/>
      <c r="U21" s="436"/>
      <c r="V21" s="441"/>
    </row>
    <row r="22" spans="1:22" x14ac:dyDescent="0.2">
      <c r="A22" s="431"/>
      <c r="B22" s="281"/>
      <c r="C22" s="432"/>
      <c r="D22" s="263"/>
      <c r="E22" s="263"/>
      <c r="F22" s="263"/>
      <c r="G22" s="434"/>
      <c r="H22" s="435">
        <f t="shared" si="0"/>
        <v>0</v>
      </c>
      <c r="I22" s="436"/>
      <c r="J22" s="263"/>
      <c r="K22" s="263"/>
      <c r="L22" s="263"/>
      <c r="M22" s="263" t="s">
        <v>410</v>
      </c>
      <c r="N22" s="437">
        <v>2</v>
      </c>
      <c r="O22" s="434">
        <f>35.3/2</f>
        <v>17.649999999999999</v>
      </c>
      <c r="P22" s="438"/>
      <c r="Q22" s="439"/>
      <c r="R22" s="434">
        <f>SUM(R20:R21)</f>
        <v>1807.8</v>
      </c>
      <c r="S22" s="435"/>
      <c r="T22" s="440"/>
      <c r="U22" s="436"/>
      <c r="V22" s="441"/>
    </row>
    <row r="23" spans="1:22" x14ac:dyDescent="0.2">
      <c r="A23" s="431"/>
      <c r="B23" s="281"/>
      <c r="C23" s="432"/>
      <c r="D23" s="263"/>
      <c r="E23" s="263"/>
      <c r="F23" s="263"/>
      <c r="G23" s="434"/>
      <c r="H23" s="435">
        <f t="shared" si="0"/>
        <v>0</v>
      </c>
      <c r="I23" s="436"/>
      <c r="J23" s="263"/>
      <c r="K23" s="263"/>
      <c r="L23" s="263"/>
      <c r="M23" s="263"/>
      <c r="N23" s="437"/>
      <c r="O23" s="434">
        <f>O20+O21*0.5+O22*2</f>
        <v>67.349999999999994</v>
      </c>
      <c r="P23" s="438"/>
      <c r="Q23" s="439"/>
      <c r="R23" s="434"/>
      <c r="S23" s="435"/>
      <c r="T23" s="440"/>
      <c r="U23" s="436"/>
      <c r="V23" s="441"/>
    </row>
    <row r="24" spans="1:22" x14ac:dyDescent="0.2">
      <c r="A24" s="431"/>
      <c r="B24" s="281"/>
      <c r="C24" s="432"/>
      <c r="D24" s="263"/>
      <c r="E24" s="263"/>
      <c r="F24" s="263"/>
      <c r="G24" s="434"/>
      <c r="H24" s="435">
        <f t="shared" si="0"/>
        <v>0</v>
      </c>
      <c r="I24" s="436"/>
      <c r="J24" s="263"/>
      <c r="K24" s="263"/>
      <c r="L24" s="263"/>
      <c r="M24" s="263"/>
      <c r="N24" s="437"/>
      <c r="O24" s="434"/>
      <c r="P24" s="438"/>
      <c r="Q24" s="439"/>
      <c r="R24" s="434"/>
      <c r="S24" s="435"/>
      <c r="T24" s="440">
        <f>S24+P24+H24</f>
        <v>0</v>
      </c>
      <c r="U24" s="436"/>
      <c r="V24" s="441"/>
    </row>
    <row r="25" spans="1:22" ht="15" x14ac:dyDescent="0.25">
      <c r="A25" s="431"/>
      <c r="B25" s="281"/>
      <c r="C25" s="432" t="s">
        <v>412</v>
      </c>
      <c r="D25" s="575">
        <v>1</v>
      </c>
      <c r="E25" s="433">
        <f>'Site Work'!M30</f>
        <v>301.8282402584876</v>
      </c>
      <c r="F25" s="263" t="s">
        <v>330</v>
      </c>
      <c r="G25" s="434"/>
      <c r="H25" s="435">
        <f t="shared" si="0"/>
        <v>0</v>
      </c>
      <c r="I25" s="436" t="s">
        <v>413</v>
      </c>
      <c r="J25" s="263">
        <v>90</v>
      </c>
      <c r="K25" s="263">
        <f>E25/J25</f>
        <v>3.3536471139831954</v>
      </c>
      <c r="L25" s="263">
        <f>8*K25</f>
        <v>26.829176911865563</v>
      </c>
      <c r="M25" s="263" t="s">
        <v>414</v>
      </c>
      <c r="N25" s="437">
        <v>1</v>
      </c>
      <c r="O25" s="434">
        <v>23.9</v>
      </c>
      <c r="P25" s="438">
        <f>O27*L25</f>
        <v>1112.0693829968277</v>
      </c>
      <c r="Q25" s="439" t="s">
        <v>415</v>
      </c>
      <c r="R25" s="434">
        <v>2211</v>
      </c>
      <c r="S25" s="435">
        <f>R25*K25</f>
        <v>7414.9137690168445</v>
      </c>
      <c r="T25" s="440">
        <f>S25+P25+H25</f>
        <v>8526.9831520136722</v>
      </c>
      <c r="U25" s="436">
        <f>T25/E25</f>
        <v>28.251111111111108</v>
      </c>
      <c r="V25" s="441" t="str">
        <f>F25</f>
        <v>bcy</v>
      </c>
    </row>
    <row r="26" spans="1:22" x14ac:dyDescent="0.2">
      <c r="A26" s="431"/>
      <c r="B26" s="281"/>
      <c r="C26" s="432"/>
      <c r="D26" s="263"/>
      <c r="E26" s="263"/>
      <c r="F26" s="263"/>
      <c r="G26" s="434"/>
      <c r="H26" s="435">
        <f t="shared" si="0"/>
        <v>0</v>
      </c>
      <c r="I26" s="436"/>
      <c r="J26" s="263"/>
      <c r="K26" s="263"/>
      <c r="L26" s="263"/>
      <c r="M26" s="263" t="s">
        <v>400</v>
      </c>
      <c r="N26" s="437">
        <v>1</v>
      </c>
      <c r="O26" s="434">
        <f>35.1/2</f>
        <v>17.55</v>
      </c>
      <c r="P26" s="438"/>
      <c r="Q26" s="439"/>
      <c r="R26" s="434"/>
      <c r="S26" s="435"/>
      <c r="T26" s="440"/>
      <c r="U26" s="436"/>
      <c r="V26" s="441"/>
    </row>
    <row r="27" spans="1:22" x14ac:dyDescent="0.2">
      <c r="A27" s="431"/>
      <c r="B27" s="281"/>
      <c r="C27" s="432"/>
      <c r="D27" s="263"/>
      <c r="E27" s="263"/>
      <c r="F27" s="263"/>
      <c r="G27" s="434"/>
      <c r="H27" s="435">
        <f t="shared" si="0"/>
        <v>0</v>
      </c>
      <c r="I27" s="436"/>
      <c r="J27" s="263"/>
      <c r="K27" s="263"/>
      <c r="L27" s="263"/>
      <c r="M27" s="263"/>
      <c r="N27" s="437"/>
      <c r="O27" s="434">
        <f>SUM(O25:O26)</f>
        <v>41.45</v>
      </c>
      <c r="P27" s="438"/>
      <c r="Q27" s="439"/>
      <c r="R27" s="434"/>
      <c r="S27" s="435"/>
      <c r="T27" s="440"/>
      <c r="U27" s="436"/>
      <c r="V27" s="441"/>
    </row>
    <row r="28" spans="1:22" x14ac:dyDescent="0.2">
      <c r="A28" s="431"/>
      <c r="B28" s="281"/>
      <c r="C28" s="432"/>
      <c r="D28" s="263"/>
      <c r="E28" s="263"/>
      <c r="F28" s="263"/>
      <c r="G28" s="434"/>
      <c r="H28" s="435">
        <f t="shared" si="0"/>
        <v>0</v>
      </c>
      <c r="I28" s="436"/>
      <c r="J28" s="263"/>
      <c r="K28" s="263"/>
      <c r="L28" s="263"/>
      <c r="M28" s="263"/>
      <c r="N28" s="437"/>
      <c r="O28" s="434"/>
      <c r="P28" s="438"/>
      <c r="Q28" s="439"/>
      <c r="R28" s="434"/>
      <c r="S28" s="435"/>
      <c r="T28" s="440"/>
      <c r="U28" s="436"/>
      <c r="V28" s="441"/>
    </row>
    <row r="29" spans="1:22" ht="15" x14ac:dyDescent="0.25">
      <c r="A29" s="431"/>
      <c r="B29" s="281"/>
      <c r="C29" s="432" t="s">
        <v>344</v>
      </c>
      <c r="D29" s="575">
        <v>1</v>
      </c>
      <c r="E29" s="433">
        <f>'Site Work'!M33</f>
        <v>15.885696855709876</v>
      </c>
      <c r="F29" s="263" t="s">
        <v>330</v>
      </c>
      <c r="G29" s="434"/>
      <c r="H29" s="435">
        <f t="shared" si="0"/>
        <v>0</v>
      </c>
      <c r="I29" s="436" t="s">
        <v>416</v>
      </c>
      <c r="J29" s="263">
        <v>9</v>
      </c>
      <c r="K29" s="263">
        <f>E29/J29</f>
        <v>1.7650774284122084</v>
      </c>
      <c r="L29" s="263">
        <f>8*K29</f>
        <v>14.120619427297667</v>
      </c>
      <c r="M29" s="263" t="s">
        <v>400</v>
      </c>
      <c r="N29" s="437">
        <v>2</v>
      </c>
      <c r="O29" s="434">
        <v>17.55</v>
      </c>
      <c r="P29" s="438">
        <f>O30*L29</f>
        <v>495.63374189814812</v>
      </c>
      <c r="Q29" s="439"/>
      <c r="R29" s="434"/>
      <c r="S29" s="435"/>
      <c r="T29" s="440">
        <f>S29+P29+H29</f>
        <v>495.63374189814812</v>
      </c>
      <c r="U29" s="436">
        <f>T29/E29</f>
        <v>31.2</v>
      </c>
      <c r="V29" s="441" t="str">
        <f>F29</f>
        <v>bcy</v>
      </c>
    </row>
    <row r="30" spans="1:22" x14ac:dyDescent="0.2">
      <c r="A30" s="431"/>
      <c r="B30" s="281"/>
      <c r="C30" s="432"/>
      <c r="D30" s="263"/>
      <c r="E30" s="263"/>
      <c r="F30" s="263"/>
      <c r="G30" s="434"/>
      <c r="H30" s="435">
        <f t="shared" si="0"/>
        <v>0</v>
      </c>
      <c r="I30" s="436"/>
      <c r="J30" s="263"/>
      <c r="K30" s="263"/>
      <c r="L30" s="263"/>
      <c r="M30" s="263"/>
      <c r="N30" s="437"/>
      <c r="O30" s="434">
        <f>O29*N29</f>
        <v>35.1</v>
      </c>
      <c r="P30" s="438"/>
      <c r="Q30" s="439"/>
      <c r="R30" s="434"/>
      <c r="S30" s="435"/>
      <c r="T30" s="440"/>
      <c r="U30" s="436"/>
      <c r="V30" s="441"/>
    </row>
    <row r="31" spans="1:22" x14ac:dyDescent="0.2">
      <c r="A31" s="431"/>
      <c r="B31" s="281"/>
      <c r="C31" s="432"/>
      <c r="D31" s="263"/>
      <c r="E31" s="263"/>
      <c r="F31" s="263"/>
      <c r="G31" s="434"/>
      <c r="H31" s="435">
        <f t="shared" si="0"/>
        <v>0</v>
      </c>
      <c r="I31" s="436"/>
      <c r="J31" s="263"/>
      <c r="K31" s="263"/>
      <c r="L31" s="263"/>
      <c r="M31" s="263"/>
      <c r="N31" s="437"/>
      <c r="O31" s="434"/>
      <c r="P31" s="438"/>
      <c r="Q31" s="439"/>
      <c r="R31" s="434"/>
      <c r="S31" s="435"/>
      <c r="T31" s="440"/>
      <c r="U31" s="436"/>
      <c r="V31" s="441"/>
    </row>
    <row r="32" spans="1:22" ht="15" x14ac:dyDescent="0.25">
      <c r="A32" s="431"/>
      <c r="B32" s="281"/>
      <c r="C32" s="432" t="s">
        <v>346</v>
      </c>
      <c r="D32" s="575">
        <v>1</v>
      </c>
      <c r="E32" s="433">
        <f>'Site Work'!M35</f>
        <v>10141</v>
      </c>
      <c r="F32" s="263" t="s">
        <v>42</v>
      </c>
      <c r="G32" s="434">
        <v>0.31</v>
      </c>
      <c r="H32" s="435">
        <f t="shared" si="0"/>
        <v>3143.71</v>
      </c>
      <c r="I32" s="436" t="s">
        <v>417</v>
      </c>
      <c r="J32" s="263">
        <v>2496</v>
      </c>
      <c r="K32" s="263">
        <f>E32/J32</f>
        <v>4.0629006410256414</v>
      </c>
      <c r="L32" s="263">
        <f>8*K32</f>
        <v>32.503205128205131</v>
      </c>
      <c r="M32" s="263" t="s">
        <v>418</v>
      </c>
      <c r="N32" s="437">
        <v>1</v>
      </c>
      <c r="O32" s="434">
        <v>22.7</v>
      </c>
      <c r="P32" s="438">
        <f>O32*L32</f>
        <v>737.82275641025649</v>
      </c>
      <c r="Q32" s="439"/>
      <c r="R32" s="434"/>
      <c r="S32" s="435"/>
      <c r="T32" s="440">
        <f>S32+P32+H32</f>
        <v>3881.5327564102563</v>
      </c>
      <c r="U32" s="436">
        <f>T32/E32</f>
        <v>0.38275641025641022</v>
      </c>
      <c r="V32" s="441" t="str">
        <f>F32</f>
        <v>SF</v>
      </c>
    </row>
    <row r="33" spans="1:22" x14ac:dyDescent="0.2">
      <c r="A33" s="431"/>
      <c r="B33" s="281"/>
      <c r="C33" s="432"/>
      <c r="D33" s="263"/>
      <c r="E33" s="263"/>
      <c r="F33" s="263"/>
      <c r="G33" s="434"/>
      <c r="H33" s="435">
        <f t="shared" si="0"/>
        <v>0</v>
      </c>
      <c r="I33" s="436"/>
      <c r="J33" s="263"/>
      <c r="K33" s="263"/>
      <c r="L33" s="263"/>
      <c r="M33" s="263"/>
      <c r="N33" s="437"/>
      <c r="O33" s="434"/>
      <c r="P33" s="438"/>
      <c r="Q33" s="439"/>
      <c r="R33" s="434"/>
      <c r="S33" s="435"/>
      <c r="T33" s="440"/>
      <c r="U33" s="436"/>
      <c r="V33" s="441"/>
    </row>
    <row r="34" spans="1:22" ht="15" x14ac:dyDescent="0.25">
      <c r="A34" s="431"/>
      <c r="B34" s="281"/>
      <c r="C34" s="432" t="s">
        <v>350</v>
      </c>
      <c r="D34" s="575">
        <v>1</v>
      </c>
      <c r="E34" s="263"/>
      <c r="F34" s="263"/>
      <c r="G34" s="434"/>
      <c r="H34" s="435">
        <f t="shared" si="0"/>
        <v>0</v>
      </c>
      <c r="I34" s="436"/>
      <c r="J34" s="263"/>
      <c r="K34" s="263"/>
      <c r="L34" s="263"/>
      <c r="M34" s="263"/>
      <c r="N34" s="437"/>
      <c r="O34" s="434"/>
      <c r="P34" s="438"/>
      <c r="Q34" s="439"/>
      <c r="R34" s="434"/>
      <c r="S34" s="435"/>
      <c r="T34" s="440"/>
      <c r="U34" s="436"/>
      <c r="V34" s="441"/>
    </row>
    <row r="35" spans="1:22" ht="15" x14ac:dyDescent="0.25">
      <c r="A35" s="431"/>
      <c r="B35" s="281"/>
      <c r="C35" s="432" t="s">
        <v>419</v>
      </c>
      <c r="D35" s="575">
        <v>1</v>
      </c>
      <c r="E35" s="263">
        <f>'Site Work'!M39</f>
        <v>514</v>
      </c>
      <c r="F35" s="263" t="s">
        <v>195</v>
      </c>
      <c r="G35" s="434">
        <v>0.23</v>
      </c>
      <c r="H35" s="435">
        <f t="shared" si="0"/>
        <v>118.22</v>
      </c>
      <c r="I35" s="436" t="s">
        <v>416</v>
      </c>
      <c r="J35" s="263">
        <v>1600</v>
      </c>
      <c r="K35" s="263">
        <f>E35/J35</f>
        <v>0.32124999999999998</v>
      </c>
      <c r="L35" s="263">
        <f>8*K35</f>
        <v>2.57</v>
      </c>
      <c r="M35" s="263" t="s">
        <v>400</v>
      </c>
      <c r="N35" s="437">
        <v>2</v>
      </c>
      <c r="O35" s="434">
        <v>17.55</v>
      </c>
      <c r="P35" s="438">
        <f>O35*N35*L35</f>
        <v>90.206999999999994</v>
      </c>
      <c r="Q35" s="439"/>
      <c r="R35" s="434"/>
      <c r="S35" s="435"/>
      <c r="T35" s="440">
        <f>S35+P35+H35</f>
        <v>208.42699999999999</v>
      </c>
      <c r="U35" s="436">
        <f>T35/E35</f>
        <v>0.40549999999999997</v>
      </c>
      <c r="V35" s="441" t="str">
        <f>F35</f>
        <v>lf</v>
      </c>
    </row>
    <row r="36" spans="1:22" x14ac:dyDescent="0.2">
      <c r="A36" s="431"/>
      <c r="B36" s="281"/>
      <c r="C36" s="432"/>
      <c r="D36" s="263"/>
      <c r="E36" s="263"/>
      <c r="F36" s="263"/>
      <c r="G36" s="434"/>
      <c r="H36" s="435"/>
      <c r="I36" s="436"/>
      <c r="J36" s="263"/>
      <c r="K36" s="263"/>
      <c r="L36" s="263"/>
      <c r="M36" s="263"/>
      <c r="N36" s="437"/>
      <c r="O36" s="434"/>
      <c r="P36" s="438"/>
      <c r="Q36" s="439"/>
      <c r="R36" s="434"/>
      <c r="S36" s="435"/>
      <c r="T36" s="440"/>
      <c r="U36" s="436"/>
      <c r="V36" s="441"/>
    </row>
    <row r="37" spans="1:22" ht="15" x14ac:dyDescent="0.25">
      <c r="A37" s="431"/>
      <c r="B37" s="281"/>
      <c r="C37" s="432" t="s">
        <v>420</v>
      </c>
      <c r="D37" s="575">
        <v>1</v>
      </c>
      <c r="E37" s="263">
        <f>665</f>
        <v>665</v>
      </c>
      <c r="F37" s="263" t="s">
        <v>16</v>
      </c>
      <c r="G37" s="434">
        <v>30.49</v>
      </c>
      <c r="H37" s="435">
        <f t="shared" si="0"/>
        <v>20275.849999999999</v>
      </c>
      <c r="I37" s="436" t="s">
        <v>421</v>
      </c>
      <c r="J37" s="263">
        <v>600</v>
      </c>
      <c r="K37" s="263">
        <f>E37/J37</f>
        <v>1.1083333333333334</v>
      </c>
      <c r="L37" s="263">
        <f>8*K37</f>
        <v>8.8666666666666671</v>
      </c>
      <c r="M37" s="263" t="s">
        <v>407</v>
      </c>
      <c r="N37" s="437">
        <v>1</v>
      </c>
      <c r="O37" s="434">
        <v>23.28</v>
      </c>
      <c r="P37" s="438">
        <f>O40*L37</f>
        <v>620.04600000000005</v>
      </c>
      <c r="Q37" s="439" t="s">
        <v>422</v>
      </c>
      <c r="R37" s="434">
        <v>1169.2</v>
      </c>
      <c r="S37" s="435">
        <f>R39*K37</f>
        <v>2673.5216666666665</v>
      </c>
      <c r="T37" s="440">
        <f>S37+P37+H37</f>
        <v>23569.417666666664</v>
      </c>
      <c r="U37" s="436">
        <f>T37/E37</f>
        <v>35.442733333333329</v>
      </c>
      <c r="V37" s="441" t="str">
        <f>F37</f>
        <v>CY</v>
      </c>
    </row>
    <row r="38" spans="1:22" x14ac:dyDescent="0.2">
      <c r="A38" s="431"/>
      <c r="B38" s="281"/>
      <c r="C38" s="432"/>
      <c r="D38" s="263"/>
      <c r="E38" s="263"/>
      <c r="F38" s="263"/>
      <c r="G38" s="434"/>
      <c r="H38" s="435">
        <f t="shared" si="0"/>
        <v>0</v>
      </c>
      <c r="I38" s="436"/>
      <c r="J38" s="263"/>
      <c r="K38" s="263"/>
      <c r="L38" s="263"/>
      <c r="M38" s="263" t="s">
        <v>400</v>
      </c>
      <c r="N38" s="437">
        <v>0.5</v>
      </c>
      <c r="O38" s="434">
        <f>O32</f>
        <v>22.7</v>
      </c>
      <c r="P38" s="438"/>
      <c r="Q38" s="439" t="s">
        <v>408</v>
      </c>
      <c r="R38" s="434">
        <v>1243</v>
      </c>
      <c r="S38" s="435"/>
      <c r="T38" s="440"/>
      <c r="U38" s="436"/>
      <c r="V38" s="441"/>
    </row>
    <row r="39" spans="1:22" x14ac:dyDescent="0.2">
      <c r="A39" s="431"/>
      <c r="B39" s="281"/>
      <c r="C39" s="432"/>
      <c r="D39" s="263"/>
      <c r="E39" s="263"/>
      <c r="F39" s="263"/>
      <c r="G39" s="434"/>
      <c r="H39" s="435">
        <f t="shared" si="0"/>
        <v>0</v>
      </c>
      <c r="I39" s="436"/>
      <c r="J39" s="263"/>
      <c r="K39" s="263"/>
      <c r="L39" s="263"/>
      <c r="M39" s="263" t="s">
        <v>410</v>
      </c>
      <c r="N39" s="437">
        <v>2</v>
      </c>
      <c r="O39" s="434">
        <f>35.3/2</f>
        <v>17.649999999999999</v>
      </c>
      <c r="P39" s="438"/>
      <c r="Q39" s="439"/>
      <c r="R39" s="434">
        <f>SUM(R37:R38)</f>
        <v>2412.1999999999998</v>
      </c>
      <c r="S39" s="435"/>
      <c r="T39" s="440"/>
      <c r="U39" s="436"/>
      <c r="V39" s="441"/>
    </row>
    <row r="40" spans="1:22" x14ac:dyDescent="0.2">
      <c r="A40" s="431"/>
      <c r="B40" s="281"/>
      <c r="C40" s="432"/>
      <c r="D40" s="263"/>
      <c r="E40" s="263"/>
      <c r="F40" s="263"/>
      <c r="G40" s="434"/>
      <c r="H40" s="435">
        <f t="shared" si="0"/>
        <v>0</v>
      </c>
      <c r="I40" s="436"/>
      <c r="J40" s="263"/>
      <c r="K40" s="263"/>
      <c r="L40" s="263"/>
      <c r="O40" s="292">
        <f>O37+O38*N38+O39*N39</f>
        <v>69.930000000000007</v>
      </c>
      <c r="P40" s="438"/>
      <c r="Q40" s="439"/>
      <c r="R40" s="434"/>
      <c r="S40" s="435"/>
      <c r="T40" s="440"/>
      <c r="U40" s="436"/>
      <c r="V40" s="441"/>
    </row>
    <row r="41" spans="1:22" x14ac:dyDescent="0.2">
      <c r="A41" s="431"/>
      <c r="B41" s="281"/>
      <c r="C41" s="432"/>
      <c r="D41" s="263"/>
      <c r="E41" s="263"/>
      <c r="F41" s="263"/>
      <c r="G41" s="434"/>
      <c r="H41" s="435"/>
      <c r="I41" s="436"/>
      <c r="J41" s="263"/>
      <c r="K41" s="263"/>
      <c r="L41" s="263"/>
      <c r="P41" s="438"/>
      <c r="Q41" s="439"/>
      <c r="R41" s="434"/>
      <c r="S41" s="435"/>
      <c r="T41" s="440"/>
      <c r="U41" s="436"/>
      <c r="V41" s="441"/>
    </row>
    <row r="42" spans="1:22" x14ac:dyDescent="0.2">
      <c r="A42" s="431"/>
      <c r="B42" s="281"/>
      <c r="C42" s="432"/>
      <c r="D42" s="263"/>
      <c r="E42" s="263"/>
      <c r="F42" s="263"/>
      <c r="G42" s="434"/>
      <c r="H42" s="435">
        <f t="shared" si="0"/>
        <v>0</v>
      </c>
      <c r="I42" s="436"/>
      <c r="J42" s="263"/>
      <c r="K42" s="263"/>
      <c r="L42" s="263"/>
      <c r="M42" s="263"/>
      <c r="N42" s="437"/>
      <c r="O42" s="434"/>
      <c r="P42" s="438"/>
      <c r="Q42" s="439"/>
      <c r="R42" s="434"/>
      <c r="S42" s="435"/>
      <c r="T42" s="440"/>
      <c r="U42" s="436"/>
      <c r="V42" s="441"/>
    </row>
    <row r="43" spans="1:22" ht="13.5" thickBot="1" x14ac:dyDescent="0.25">
      <c r="A43" s="446"/>
      <c r="B43" s="364"/>
      <c r="C43" s="447"/>
      <c r="D43" s="270"/>
      <c r="E43" s="270"/>
      <c r="F43" s="270"/>
      <c r="G43" s="448"/>
      <c r="H43" s="449">
        <f t="shared" si="0"/>
        <v>0</v>
      </c>
      <c r="I43" s="450"/>
      <c r="J43" s="270"/>
      <c r="K43" s="442"/>
      <c r="L43" s="442"/>
      <c r="M43" s="270"/>
      <c r="N43" s="451"/>
      <c r="O43" s="448"/>
      <c r="P43" s="452"/>
      <c r="Q43" s="453"/>
      <c r="R43" s="448"/>
      <c r="S43" s="454"/>
      <c r="T43" s="455"/>
      <c r="U43" s="456"/>
      <c r="V43" s="441"/>
    </row>
    <row r="44" spans="1:22" ht="13.5" thickBot="1" x14ac:dyDescent="0.25">
      <c r="A44" s="457"/>
      <c r="B44" s="458"/>
      <c r="C44" s="459"/>
      <c r="D44" s="460"/>
      <c r="E44" s="460"/>
      <c r="F44" s="460"/>
      <c r="G44" s="460"/>
      <c r="H44" s="461">
        <f>SUM(H8:H43)</f>
        <v>68869.429999999993</v>
      </c>
      <c r="I44" s="462"/>
      <c r="J44" s="463"/>
      <c r="K44" s="461"/>
      <c r="L44" s="461"/>
      <c r="M44" s="462"/>
      <c r="N44" s="464"/>
      <c r="O44" s="463"/>
      <c r="P44" s="461">
        <f>SUM(P8:P43)</f>
        <v>4429.1909595780789</v>
      </c>
      <c r="Q44" s="462"/>
      <c r="R44" s="463"/>
      <c r="S44" s="465">
        <f>SUM(S8:S43)</f>
        <v>20841.363198738967</v>
      </c>
      <c r="T44" s="466">
        <f>SUM(T8:T43)</f>
        <v>94139.984158317035</v>
      </c>
      <c r="U44" s="467" t="s">
        <v>397</v>
      </c>
      <c r="V44" s="468"/>
    </row>
    <row r="45" spans="1:22" x14ac:dyDescent="0.2">
      <c r="C45" s="469" t="s">
        <v>568</v>
      </c>
      <c r="N45" s="470"/>
      <c r="S45" s="471">
        <v>0.3</v>
      </c>
      <c r="T45" s="472">
        <f>T44*1.3</f>
        <v>122381.97940581215</v>
      </c>
    </row>
    <row r="46" spans="1:22" x14ac:dyDescent="0.2">
      <c r="N46" s="470"/>
    </row>
    <row r="47" spans="1:22" x14ac:dyDescent="0.2">
      <c r="N47" s="470"/>
    </row>
    <row r="48" spans="1:22" x14ac:dyDescent="0.2">
      <c r="N48" s="470"/>
    </row>
    <row r="49" spans="14:14" x14ac:dyDescent="0.2">
      <c r="N49" s="470"/>
    </row>
    <row r="50" spans="14:14" x14ac:dyDescent="0.2">
      <c r="N50" s="470"/>
    </row>
    <row r="51" spans="14:14" x14ac:dyDescent="0.2">
      <c r="N51" s="470"/>
    </row>
    <row r="52" spans="14:14" x14ac:dyDescent="0.2">
      <c r="N52" s="470"/>
    </row>
    <row r="53" spans="14:14" x14ac:dyDescent="0.2">
      <c r="N53" s="470"/>
    </row>
    <row r="54" spans="14:14" x14ac:dyDescent="0.2">
      <c r="N54" s="470"/>
    </row>
    <row r="55" spans="14:14" x14ac:dyDescent="0.2">
      <c r="N55" s="470"/>
    </row>
    <row r="56" spans="14:14" x14ac:dyDescent="0.2">
      <c r="N56" s="470"/>
    </row>
    <row r="57" spans="14:14" x14ac:dyDescent="0.2">
      <c r="N57" s="470"/>
    </row>
    <row r="58" spans="14:14" x14ac:dyDescent="0.2">
      <c r="N58" s="470"/>
    </row>
    <row r="59" spans="14:14" x14ac:dyDescent="0.2">
      <c r="N59" s="470"/>
    </row>
    <row r="60" spans="14:14" x14ac:dyDescent="0.2">
      <c r="N60" s="470"/>
    </row>
    <row r="61" spans="14:14" x14ac:dyDescent="0.2">
      <c r="N61" s="470"/>
    </row>
    <row r="62" spans="14:14" x14ac:dyDescent="0.2">
      <c r="N62" s="470"/>
    </row>
    <row r="63" spans="14:14" x14ac:dyDescent="0.2">
      <c r="N63" s="470"/>
    </row>
    <row r="64" spans="14:14" x14ac:dyDescent="0.2">
      <c r="N64" s="470"/>
    </row>
    <row r="65" spans="14:14" x14ac:dyDescent="0.2">
      <c r="N65" s="470"/>
    </row>
    <row r="66" spans="14:14" x14ac:dyDescent="0.2">
      <c r="N66" s="470"/>
    </row>
    <row r="67" spans="14:14" x14ac:dyDescent="0.2">
      <c r="N67" s="470"/>
    </row>
    <row r="68" spans="14:14" x14ac:dyDescent="0.2">
      <c r="N68" s="470"/>
    </row>
    <row r="69" spans="14:14" x14ac:dyDescent="0.2">
      <c r="N69" s="470"/>
    </row>
    <row r="70" spans="14:14" x14ac:dyDescent="0.2">
      <c r="N70" s="470"/>
    </row>
    <row r="71" spans="14:14" x14ac:dyDescent="0.2">
      <c r="N71" s="470"/>
    </row>
    <row r="72" spans="14:14" x14ac:dyDescent="0.2">
      <c r="N72" s="470"/>
    </row>
    <row r="73" spans="14:14" x14ac:dyDescent="0.2">
      <c r="N73" s="470"/>
    </row>
    <row r="74" spans="14:14" x14ac:dyDescent="0.2">
      <c r="N74" s="470"/>
    </row>
    <row r="75" spans="14:14" x14ac:dyDescent="0.2">
      <c r="N75" s="470"/>
    </row>
    <row r="76" spans="14:14" x14ac:dyDescent="0.2">
      <c r="N76" s="470"/>
    </row>
    <row r="77" spans="14:14" x14ac:dyDescent="0.2">
      <c r="N77" s="470"/>
    </row>
    <row r="78" spans="14:14" x14ac:dyDescent="0.2">
      <c r="N78" s="470"/>
    </row>
    <row r="79" spans="14:14" x14ac:dyDescent="0.2">
      <c r="N79" s="470"/>
    </row>
    <row r="80" spans="14:14" x14ac:dyDescent="0.2">
      <c r="N80" s="470"/>
    </row>
    <row r="81" spans="14:14" x14ac:dyDescent="0.2">
      <c r="N81" s="470"/>
    </row>
    <row r="82" spans="14:14" x14ac:dyDescent="0.2">
      <c r="N82" s="470"/>
    </row>
    <row r="83" spans="14:14" x14ac:dyDescent="0.2">
      <c r="N83" s="470"/>
    </row>
    <row r="84" spans="14:14" x14ac:dyDescent="0.2">
      <c r="N84" s="470"/>
    </row>
    <row r="85" spans="14:14" x14ac:dyDescent="0.2">
      <c r="N85" s="470"/>
    </row>
    <row r="86" spans="14:14" x14ac:dyDescent="0.2">
      <c r="N86" s="470"/>
    </row>
    <row r="87" spans="14:14" x14ac:dyDescent="0.2">
      <c r="N87" s="470"/>
    </row>
    <row r="88" spans="14:14" x14ac:dyDescent="0.2">
      <c r="N88" s="470"/>
    </row>
    <row r="89" spans="14:14" x14ac:dyDescent="0.2">
      <c r="N89" s="470"/>
    </row>
    <row r="90" spans="14:14" x14ac:dyDescent="0.2">
      <c r="N90" s="470"/>
    </row>
    <row r="91" spans="14:14" x14ac:dyDescent="0.2">
      <c r="N91" s="470"/>
    </row>
    <row r="92" spans="14:14" x14ac:dyDescent="0.2">
      <c r="N92" s="470"/>
    </row>
    <row r="93" spans="14:14" x14ac:dyDescent="0.2">
      <c r="N93" s="470"/>
    </row>
    <row r="94" spans="14:14" x14ac:dyDescent="0.2">
      <c r="N94" s="470"/>
    </row>
    <row r="95" spans="14:14" x14ac:dyDescent="0.2">
      <c r="N95" s="470"/>
    </row>
    <row r="96" spans="14:14" x14ac:dyDescent="0.2">
      <c r="N96" s="470"/>
    </row>
    <row r="97" spans="14:14" x14ac:dyDescent="0.2">
      <c r="N97" s="470"/>
    </row>
    <row r="98" spans="14:14" x14ac:dyDescent="0.2">
      <c r="N98" s="470"/>
    </row>
    <row r="99" spans="14:14" x14ac:dyDescent="0.2">
      <c r="N99" s="470"/>
    </row>
    <row r="100" spans="14:14" x14ac:dyDescent="0.2">
      <c r="N100" s="470"/>
    </row>
    <row r="101" spans="14:14" x14ac:dyDescent="0.2">
      <c r="N101" s="470"/>
    </row>
    <row r="102" spans="14:14" x14ac:dyDescent="0.2">
      <c r="N102" s="470"/>
    </row>
    <row r="103" spans="14:14" x14ac:dyDescent="0.2">
      <c r="N103" s="470"/>
    </row>
    <row r="104" spans="14:14" x14ac:dyDescent="0.2">
      <c r="N104" s="470"/>
    </row>
    <row r="105" spans="14:14" x14ac:dyDescent="0.2">
      <c r="N105" s="470"/>
    </row>
    <row r="106" spans="14:14" x14ac:dyDescent="0.2">
      <c r="N106" s="470"/>
    </row>
    <row r="107" spans="14:14" x14ac:dyDescent="0.2">
      <c r="N107" s="470"/>
    </row>
    <row r="108" spans="14:14" x14ac:dyDescent="0.2">
      <c r="N108" s="470"/>
    </row>
    <row r="109" spans="14:14" x14ac:dyDescent="0.2">
      <c r="N109" s="470"/>
    </row>
    <row r="110" spans="14:14" x14ac:dyDescent="0.2">
      <c r="N110" s="470"/>
    </row>
    <row r="111" spans="14:14" x14ac:dyDescent="0.2">
      <c r="N111" s="470"/>
    </row>
    <row r="112" spans="14:14" x14ac:dyDescent="0.2">
      <c r="N112" s="470"/>
    </row>
    <row r="113" spans="14:14" x14ac:dyDescent="0.2">
      <c r="N113" s="470"/>
    </row>
    <row r="114" spans="14:14" x14ac:dyDescent="0.2">
      <c r="N114" s="470"/>
    </row>
    <row r="115" spans="14:14" x14ac:dyDescent="0.2">
      <c r="N115" s="470"/>
    </row>
    <row r="116" spans="14:14" x14ac:dyDescent="0.2">
      <c r="N116" s="470"/>
    </row>
    <row r="117" spans="14:14" x14ac:dyDescent="0.2">
      <c r="N117" s="470"/>
    </row>
    <row r="118" spans="14:14" x14ac:dyDescent="0.2">
      <c r="N118" s="470"/>
    </row>
    <row r="119" spans="14:14" x14ac:dyDescent="0.2">
      <c r="N119" s="470"/>
    </row>
    <row r="120" spans="14:14" x14ac:dyDescent="0.2">
      <c r="N120" s="470"/>
    </row>
    <row r="121" spans="14:14" x14ac:dyDescent="0.2">
      <c r="N121" s="470"/>
    </row>
    <row r="122" spans="14:14" x14ac:dyDescent="0.2">
      <c r="N122" s="470"/>
    </row>
    <row r="123" spans="14:14" x14ac:dyDescent="0.2">
      <c r="N123" s="470"/>
    </row>
    <row r="124" spans="14:14" x14ac:dyDescent="0.2">
      <c r="N124" s="470"/>
    </row>
    <row r="125" spans="14:14" x14ac:dyDescent="0.2">
      <c r="N125" s="470"/>
    </row>
    <row r="126" spans="14:14" x14ac:dyDescent="0.2">
      <c r="N126" s="470"/>
    </row>
    <row r="127" spans="14:14" x14ac:dyDescent="0.2">
      <c r="N127" s="470"/>
    </row>
    <row r="128" spans="14:14" x14ac:dyDescent="0.2">
      <c r="N128" s="470"/>
    </row>
    <row r="129" spans="14:14" x14ac:dyDescent="0.2">
      <c r="N129" s="470"/>
    </row>
    <row r="130" spans="14:14" x14ac:dyDescent="0.2">
      <c r="N130" s="470"/>
    </row>
    <row r="131" spans="14:14" x14ac:dyDescent="0.2">
      <c r="N131" s="470"/>
    </row>
    <row r="132" spans="14:14" x14ac:dyDescent="0.2">
      <c r="N132" s="470"/>
    </row>
    <row r="133" spans="14:14" x14ac:dyDescent="0.2">
      <c r="N133" s="470"/>
    </row>
    <row r="134" spans="14:14" x14ac:dyDescent="0.2">
      <c r="N134" s="470"/>
    </row>
    <row r="135" spans="14:14" x14ac:dyDescent="0.2">
      <c r="N135" s="470"/>
    </row>
    <row r="136" spans="14:14" x14ac:dyDescent="0.2">
      <c r="N136" s="470"/>
    </row>
    <row r="137" spans="14:14" x14ac:dyDescent="0.2">
      <c r="N137" s="470"/>
    </row>
    <row r="138" spans="14:14" x14ac:dyDescent="0.2">
      <c r="N138" s="470"/>
    </row>
    <row r="139" spans="14:14" x14ac:dyDescent="0.2">
      <c r="N139" s="470"/>
    </row>
    <row r="140" spans="14:14" x14ac:dyDescent="0.2">
      <c r="N140" s="470"/>
    </row>
    <row r="141" spans="14:14" x14ac:dyDescent="0.2">
      <c r="N141" s="470"/>
    </row>
    <row r="142" spans="14:14" x14ac:dyDescent="0.2">
      <c r="N142" s="470"/>
    </row>
    <row r="143" spans="14:14" x14ac:dyDescent="0.2">
      <c r="N143" s="470"/>
    </row>
    <row r="144" spans="14:14" x14ac:dyDescent="0.2">
      <c r="N144" s="470"/>
    </row>
    <row r="145" spans="14:14" x14ac:dyDescent="0.2">
      <c r="N145" s="470"/>
    </row>
    <row r="146" spans="14:14" x14ac:dyDescent="0.2">
      <c r="N146" s="470"/>
    </row>
    <row r="147" spans="14:14" x14ac:dyDescent="0.2">
      <c r="N147" s="470"/>
    </row>
    <row r="148" spans="14:14" x14ac:dyDescent="0.2">
      <c r="N148" s="470"/>
    </row>
    <row r="149" spans="14:14" x14ac:dyDescent="0.2">
      <c r="N149" s="470"/>
    </row>
    <row r="150" spans="14:14" x14ac:dyDescent="0.2">
      <c r="N150" s="470"/>
    </row>
    <row r="151" spans="14:14" x14ac:dyDescent="0.2">
      <c r="N151" s="470"/>
    </row>
    <row r="152" spans="14:14" x14ac:dyDescent="0.2">
      <c r="N152" s="470"/>
    </row>
    <row r="153" spans="14:14" x14ac:dyDescent="0.2">
      <c r="N153" s="470"/>
    </row>
    <row r="154" spans="14:14" x14ac:dyDescent="0.2">
      <c r="N154" s="470"/>
    </row>
    <row r="155" spans="14:14" x14ac:dyDescent="0.2">
      <c r="N155" s="470"/>
    </row>
    <row r="156" spans="14:14" x14ac:dyDescent="0.2">
      <c r="N156" s="470"/>
    </row>
    <row r="157" spans="14:14" x14ac:dyDescent="0.2">
      <c r="N157" s="470"/>
    </row>
    <row r="158" spans="14:14" x14ac:dyDescent="0.2">
      <c r="N158" s="470"/>
    </row>
    <row r="159" spans="14:14" x14ac:dyDescent="0.2">
      <c r="N159" s="470"/>
    </row>
    <row r="160" spans="14:14" x14ac:dyDescent="0.2">
      <c r="N160" s="470"/>
    </row>
    <row r="161" spans="14:14" x14ac:dyDescent="0.2">
      <c r="N161" s="470"/>
    </row>
    <row r="162" spans="14:14" x14ac:dyDescent="0.2">
      <c r="N162" s="470"/>
    </row>
    <row r="163" spans="14:14" x14ac:dyDescent="0.2">
      <c r="N163" s="470"/>
    </row>
    <row r="164" spans="14:14" x14ac:dyDescent="0.2">
      <c r="N164" s="470"/>
    </row>
    <row r="165" spans="14:14" x14ac:dyDescent="0.2">
      <c r="N165" s="470"/>
    </row>
    <row r="166" spans="14:14" x14ac:dyDescent="0.2">
      <c r="N166" s="470"/>
    </row>
    <row r="167" spans="14:14" x14ac:dyDescent="0.2">
      <c r="N167" s="470"/>
    </row>
    <row r="168" spans="14:14" x14ac:dyDescent="0.2">
      <c r="N168" s="470"/>
    </row>
    <row r="169" spans="14:14" x14ac:dyDescent="0.2">
      <c r="N169" s="470"/>
    </row>
    <row r="170" spans="14:14" x14ac:dyDescent="0.2">
      <c r="N170" s="470"/>
    </row>
    <row r="171" spans="14:14" x14ac:dyDescent="0.2">
      <c r="N171" s="470"/>
    </row>
    <row r="172" spans="14:14" x14ac:dyDescent="0.2">
      <c r="N172" s="470"/>
    </row>
    <row r="173" spans="14:14" x14ac:dyDescent="0.2">
      <c r="N173" s="470"/>
    </row>
    <row r="174" spans="14:14" x14ac:dyDescent="0.2">
      <c r="N174" s="470"/>
    </row>
    <row r="175" spans="14:14" x14ac:dyDescent="0.2">
      <c r="N175" s="470"/>
    </row>
    <row r="176" spans="14:14" x14ac:dyDescent="0.2">
      <c r="N176" s="470"/>
    </row>
    <row r="177" spans="14:14" x14ac:dyDescent="0.2">
      <c r="N177" s="470"/>
    </row>
    <row r="178" spans="14:14" x14ac:dyDescent="0.2">
      <c r="N178" s="470"/>
    </row>
    <row r="179" spans="14:14" x14ac:dyDescent="0.2">
      <c r="N179" s="470"/>
    </row>
    <row r="180" spans="14:14" x14ac:dyDescent="0.2">
      <c r="N180" s="470"/>
    </row>
    <row r="181" spans="14:14" x14ac:dyDescent="0.2">
      <c r="N181" s="470"/>
    </row>
    <row r="182" spans="14:14" x14ac:dyDescent="0.2">
      <c r="N182" s="470"/>
    </row>
    <row r="183" spans="14:14" x14ac:dyDescent="0.2">
      <c r="N183" s="470"/>
    </row>
    <row r="184" spans="14:14" x14ac:dyDescent="0.2">
      <c r="N184" s="470"/>
    </row>
    <row r="185" spans="14:14" x14ac:dyDescent="0.2">
      <c r="N185" s="470"/>
    </row>
    <row r="186" spans="14:14" x14ac:dyDescent="0.2">
      <c r="N186" s="470"/>
    </row>
    <row r="187" spans="14:14" x14ac:dyDescent="0.2">
      <c r="N187" s="470"/>
    </row>
    <row r="188" spans="14:14" x14ac:dyDescent="0.2">
      <c r="N188" s="470"/>
    </row>
    <row r="189" spans="14:14" x14ac:dyDescent="0.2">
      <c r="N189" s="470"/>
    </row>
    <row r="190" spans="14:14" x14ac:dyDescent="0.2">
      <c r="N190" s="470"/>
    </row>
    <row r="191" spans="14:14" x14ac:dyDescent="0.2">
      <c r="N191" s="470"/>
    </row>
    <row r="192" spans="14:14" x14ac:dyDescent="0.2">
      <c r="N192" s="470"/>
    </row>
    <row r="193" spans="14:14" x14ac:dyDescent="0.2">
      <c r="N193" s="470"/>
    </row>
    <row r="194" spans="14:14" x14ac:dyDescent="0.2">
      <c r="N194" s="470"/>
    </row>
    <row r="195" spans="14:14" x14ac:dyDescent="0.2">
      <c r="N195" s="470"/>
    </row>
    <row r="196" spans="14:14" x14ac:dyDescent="0.2">
      <c r="N196" s="470"/>
    </row>
    <row r="197" spans="14:14" x14ac:dyDescent="0.2">
      <c r="N197" s="470"/>
    </row>
    <row r="198" spans="14:14" x14ac:dyDescent="0.2">
      <c r="N198" s="470"/>
    </row>
    <row r="199" spans="14:14" x14ac:dyDescent="0.2">
      <c r="N199" s="470"/>
    </row>
    <row r="200" spans="14:14" x14ac:dyDescent="0.2">
      <c r="N200" s="470"/>
    </row>
    <row r="201" spans="14:14" x14ac:dyDescent="0.2">
      <c r="N201" s="470"/>
    </row>
    <row r="202" spans="14:14" x14ac:dyDescent="0.2">
      <c r="N202" s="470"/>
    </row>
    <row r="203" spans="14:14" x14ac:dyDescent="0.2">
      <c r="N203" s="470"/>
    </row>
    <row r="204" spans="14:14" x14ac:dyDescent="0.2">
      <c r="N204" s="470"/>
    </row>
    <row r="205" spans="14:14" x14ac:dyDescent="0.2">
      <c r="N205" s="470"/>
    </row>
    <row r="206" spans="14:14" x14ac:dyDescent="0.2">
      <c r="N206" s="470"/>
    </row>
    <row r="207" spans="14:14" x14ac:dyDescent="0.2">
      <c r="N207" s="470"/>
    </row>
    <row r="208" spans="14:14" x14ac:dyDescent="0.2">
      <c r="N208" s="470"/>
    </row>
    <row r="209" spans="14:14" x14ac:dyDescent="0.2">
      <c r="N209" s="470"/>
    </row>
    <row r="210" spans="14:14" x14ac:dyDescent="0.2">
      <c r="N210" s="470"/>
    </row>
    <row r="211" spans="14:14" x14ac:dyDescent="0.2">
      <c r="N211" s="470"/>
    </row>
    <row r="212" spans="14:14" x14ac:dyDescent="0.2">
      <c r="N212" s="470"/>
    </row>
    <row r="213" spans="14:14" x14ac:dyDescent="0.2">
      <c r="N213" s="470"/>
    </row>
    <row r="214" spans="14:14" x14ac:dyDescent="0.2">
      <c r="N214" s="470"/>
    </row>
    <row r="215" spans="14:14" x14ac:dyDescent="0.2">
      <c r="N215" s="470"/>
    </row>
    <row r="216" spans="14:14" x14ac:dyDescent="0.2">
      <c r="N216" s="470"/>
    </row>
    <row r="217" spans="14:14" x14ac:dyDescent="0.2">
      <c r="N217" s="470"/>
    </row>
    <row r="218" spans="14:14" x14ac:dyDescent="0.2">
      <c r="N218" s="470"/>
    </row>
    <row r="219" spans="14:14" x14ac:dyDescent="0.2">
      <c r="N219" s="470"/>
    </row>
    <row r="220" spans="14:14" x14ac:dyDescent="0.2">
      <c r="N220" s="470"/>
    </row>
    <row r="221" spans="14:14" x14ac:dyDescent="0.2">
      <c r="N221" s="470"/>
    </row>
    <row r="222" spans="14:14" x14ac:dyDescent="0.2">
      <c r="N222" s="470"/>
    </row>
    <row r="223" spans="14:14" x14ac:dyDescent="0.2">
      <c r="N223" s="470"/>
    </row>
    <row r="224" spans="14:14" x14ac:dyDescent="0.2">
      <c r="N224" s="470"/>
    </row>
    <row r="225" spans="14:14" x14ac:dyDescent="0.2">
      <c r="N225" s="470"/>
    </row>
    <row r="226" spans="14:14" x14ac:dyDescent="0.2">
      <c r="N226" s="470"/>
    </row>
    <row r="227" spans="14:14" x14ac:dyDescent="0.2">
      <c r="N227" s="470"/>
    </row>
    <row r="228" spans="14:14" x14ac:dyDescent="0.2">
      <c r="N228" s="470"/>
    </row>
    <row r="229" spans="14:14" x14ac:dyDescent="0.2">
      <c r="N229" s="470"/>
    </row>
    <row r="230" spans="14:14" x14ac:dyDescent="0.2">
      <c r="N230" s="470"/>
    </row>
    <row r="231" spans="14:14" x14ac:dyDescent="0.2">
      <c r="N231" s="470"/>
    </row>
    <row r="232" spans="14:14" x14ac:dyDescent="0.2">
      <c r="N232" s="470"/>
    </row>
    <row r="233" spans="14:14" x14ac:dyDescent="0.2">
      <c r="N233" s="470"/>
    </row>
    <row r="234" spans="14:14" x14ac:dyDescent="0.2">
      <c r="N234" s="470"/>
    </row>
    <row r="235" spans="14:14" x14ac:dyDescent="0.2">
      <c r="N235" s="470"/>
    </row>
    <row r="236" spans="14:14" x14ac:dyDescent="0.2">
      <c r="N236" s="470"/>
    </row>
    <row r="237" spans="14:14" x14ac:dyDescent="0.2">
      <c r="N237" s="470"/>
    </row>
    <row r="238" spans="14:14" x14ac:dyDescent="0.2">
      <c r="N238" s="470"/>
    </row>
    <row r="239" spans="14:14" x14ac:dyDescent="0.2">
      <c r="N239" s="470"/>
    </row>
    <row r="240" spans="14:14" x14ac:dyDescent="0.2">
      <c r="N240" s="470"/>
    </row>
    <row r="241" spans="14:14" x14ac:dyDescent="0.2">
      <c r="N241" s="470"/>
    </row>
    <row r="242" spans="14:14" x14ac:dyDescent="0.2">
      <c r="N242" s="470"/>
    </row>
    <row r="243" spans="14:14" x14ac:dyDescent="0.2">
      <c r="N243" s="470"/>
    </row>
    <row r="244" spans="14:14" x14ac:dyDescent="0.2">
      <c r="N244" s="470"/>
    </row>
    <row r="245" spans="14:14" x14ac:dyDescent="0.2">
      <c r="N245" s="470"/>
    </row>
    <row r="246" spans="14:14" x14ac:dyDescent="0.2">
      <c r="N246" s="470"/>
    </row>
    <row r="247" spans="14:14" x14ac:dyDescent="0.2">
      <c r="N247" s="470"/>
    </row>
    <row r="248" spans="14:14" x14ac:dyDescent="0.2">
      <c r="N248" s="470"/>
    </row>
    <row r="249" spans="14:14" x14ac:dyDescent="0.2">
      <c r="N249" s="470"/>
    </row>
    <row r="250" spans="14:14" x14ac:dyDescent="0.2">
      <c r="N250" s="470"/>
    </row>
    <row r="251" spans="14:14" x14ac:dyDescent="0.2">
      <c r="N251" s="470"/>
    </row>
    <row r="252" spans="14:14" x14ac:dyDescent="0.2">
      <c r="N252" s="470"/>
    </row>
    <row r="253" spans="14:14" x14ac:dyDescent="0.2">
      <c r="N253" s="470"/>
    </row>
    <row r="254" spans="14:14" x14ac:dyDescent="0.2">
      <c r="N254" s="470"/>
    </row>
    <row r="255" spans="14:14" x14ac:dyDescent="0.2">
      <c r="N255" s="470"/>
    </row>
    <row r="256" spans="14:14" x14ac:dyDescent="0.2">
      <c r="N256" s="470"/>
    </row>
    <row r="257" spans="14:14" x14ac:dyDescent="0.2">
      <c r="N257" s="470"/>
    </row>
    <row r="258" spans="14:14" x14ac:dyDescent="0.2">
      <c r="N258" s="470"/>
    </row>
    <row r="259" spans="14:14" x14ac:dyDescent="0.2">
      <c r="N259" s="470"/>
    </row>
    <row r="260" spans="14:14" x14ac:dyDescent="0.2">
      <c r="N260" s="470"/>
    </row>
    <row r="261" spans="14:14" x14ac:dyDescent="0.2">
      <c r="N261" s="470"/>
    </row>
    <row r="262" spans="14:14" x14ac:dyDescent="0.2">
      <c r="N262" s="470"/>
    </row>
    <row r="263" spans="14:14" x14ac:dyDescent="0.2">
      <c r="N263" s="470"/>
    </row>
    <row r="264" spans="14:14" x14ac:dyDescent="0.2">
      <c r="N264" s="470"/>
    </row>
    <row r="265" spans="14:14" x14ac:dyDescent="0.2">
      <c r="N265" s="470"/>
    </row>
    <row r="266" spans="14:14" x14ac:dyDescent="0.2">
      <c r="N266" s="470"/>
    </row>
    <row r="267" spans="14:14" x14ac:dyDescent="0.2">
      <c r="N267" s="470"/>
    </row>
    <row r="268" spans="14:14" x14ac:dyDescent="0.2">
      <c r="N268" s="470"/>
    </row>
    <row r="269" spans="14:14" x14ac:dyDescent="0.2">
      <c r="N269" s="470"/>
    </row>
    <row r="270" spans="14:14" x14ac:dyDescent="0.2">
      <c r="N270" s="470"/>
    </row>
    <row r="271" spans="14:14" x14ac:dyDescent="0.2">
      <c r="N271" s="470"/>
    </row>
    <row r="272" spans="14:14" x14ac:dyDescent="0.2">
      <c r="N272" s="470"/>
    </row>
    <row r="273" spans="14:14" x14ac:dyDescent="0.2">
      <c r="N273" s="470"/>
    </row>
    <row r="274" spans="14:14" x14ac:dyDescent="0.2">
      <c r="N274" s="470"/>
    </row>
    <row r="275" spans="14:14" x14ac:dyDescent="0.2">
      <c r="N275" s="470"/>
    </row>
    <row r="276" spans="14:14" x14ac:dyDescent="0.2">
      <c r="N276" s="470"/>
    </row>
    <row r="277" spans="14:14" x14ac:dyDescent="0.2">
      <c r="N277" s="470"/>
    </row>
    <row r="278" spans="14:14" x14ac:dyDescent="0.2">
      <c r="N278" s="470"/>
    </row>
    <row r="279" spans="14:14" x14ac:dyDescent="0.2">
      <c r="N279" s="470"/>
    </row>
    <row r="280" spans="14:14" x14ac:dyDescent="0.2">
      <c r="N280" s="470"/>
    </row>
    <row r="281" spans="14:14" x14ac:dyDescent="0.2">
      <c r="N281" s="470"/>
    </row>
    <row r="282" spans="14:14" x14ac:dyDescent="0.2">
      <c r="N282" s="470"/>
    </row>
    <row r="283" spans="14:14" x14ac:dyDescent="0.2">
      <c r="N283" s="470"/>
    </row>
    <row r="284" spans="14:14" x14ac:dyDescent="0.2">
      <c r="N284" s="470"/>
    </row>
    <row r="285" spans="14:14" x14ac:dyDescent="0.2">
      <c r="N285" s="470"/>
    </row>
    <row r="286" spans="14:14" x14ac:dyDescent="0.2">
      <c r="N286" s="470"/>
    </row>
    <row r="287" spans="14:14" x14ac:dyDescent="0.2">
      <c r="N287" s="470"/>
    </row>
    <row r="288" spans="14:14" x14ac:dyDescent="0.2">
      <c r="N288" s="470"/>
    </row>
    <row r="289" spans="14:14" x14ac:dyDescent="0.2">
      <c r="N289" s="470"/>
    </row>
    <row r="290" spans="14:14" x14ac:dyDescent="0.2">
      <c r="N290" s="470"/>
    </row>
    <row r="291" spans="14:14" x14ac:dyDescent="0.2">
      <c r="N291" s="470"/>
    </row>
    <row r="292" spans="14:14" x14ac:dyDescent="0.2">
      <c r="N292" s="470"/>
    </row>
    <row r="293" spans="14:14" x14ac:dyDescent="0.2">
      <c r="N293" s="470"/>
    </row>
    <row r="294" spans="14:14" x14ac:dyDescent="0.2">
      <c r="N294" s="470"/>
    </row>
    <row r="295" spans="14:14" x14ac:dyDescent="0.2">
      <c r="N295" s="470"/>
    </row>
    <row r="296" spans="14:14" x14ac:dyDescent="0.2">
      <c r="N296" s="470"/>
    </row>
    <row r="297" spans="14:14" x14ac:dyDescent="0.2">
      <c r="N297" s="470"/>
    </row>
    <row r="298" spans="14:14" x14ac:dyDescent="0.2">
      <c r="N298" s="470"/>
    </row>
    <row r="299" spans="14:14" x14ac:dyDescent="0.2">
      <c r="N299" s="470"/>
    </row>
    <row r="300" spans="14:14" x14ac:dyDescent="0.2">
      <c r="N300" s="470"/>
    </row>
    <row r="301" spans="14:14" x14ac:dyDescent="0.2">
      <c r="N301" s="470"/>
    </row>
    <row r="302" spans="14:14" x14ac:dyDescent="0.2">
      <c r="N302" s="470"/>
    </row>
    <row r="303" spans="14:14" x14ac:dyDescent="0.2">
      <c r="N303" s="470"/>
    </row>
    <row r="304" spans="14:14" x14ac:dyDescent="0.2">
      <c r="N304" s="470"/>
    </row>
    <row r="305" spans="14:14" x14ac:dyDescent="0.2">
      <c r="N305" s="470"/>
    </row>
    <row r="306" spans="14:14" x14ac:dyDescent="0.2">
      <c r="N306" s="470"/>
    </row>
    <row r="307" spans="14:14" x14ac:dyDescent="0.2">
      <c r="N307" s="470"/>
    </row>
    <row r="308" spans="14:14" x14ac:dyDescent="0.2">
      <c r="N308" s="470"/>
    </row>
    <row r="309" spans="14:14" x14ac:dyDescent="0.2">
      <c r="N309" s="470"/>
    </row>
    <row r="310" spans="14:14" x14ac:dyDescent="0.2">
      <c r="N310" s="470"/>
    </row>
    <row r="311" spans="14:14" x14ac:dyDescent="0.2">
      <c r="N311" s="470"/>
    </row>
    <row r="312" spans="14:14" x14ac:dyDescent="0.2">
      <c r="N312" s="470"/>
    </row>
    <row r="313" spans="14:14" x14ac:dyDescent="0.2">
      <c r="N313" s="470"/>
    </row>
    <row r="314" spans="14:14" x14ac:dyDescent="0.2">
      <c r="N314" s="470"/>
    </row>
    <row r="315" spans="14:14" x14ac:dyDescent="0.2">
      <c r="N315" s="470"/>
    </row>
    <row r="316" spans="14:14" x14ac:dyDescent="0.2">
      <c r="N316" s="470"/>
    </row>
    <row r="317" spans="14:14" x14ac:dyDescent="0.2">
      <c r="N317" s="470"/>
    </row>
    <row r="318" spans="14:14" x14ac:dyDescent="0.2">
      <c r="N318" s="470"/>
    </row>
    <row r="319" spans="14:14" x14ac:dyDescent="0.2">
      <c r="N319" s="470"/>
    </row>
    <row r="320" spans="14:14" x14ac:dyDescent="0.2">
      <c r="N320" s="470"/>
    </row>
    <row r="321" spans="14:14" x14ac:dyDescent="0.2">
      <c r="N321" s="470"/>
    </row>
    <row r="322" spans="14:14" x14ac:dyDescent="0.2">
      <c r="N322" s="470"/>
    </row>
    <row r="323" spans="14:14" x14ac:dyDescent="0.2">
      <c r="N323" s="470"/>
    </row>
    <row r="324" spans="14:14" x14ac:dyDescent="0.2">
      <c r="N324" s="470"/>
    </row>
    <row r="325" spans="14:14" x14ac:dyDescent="0.2">
      <c r="N325" s="470"/>
    </row>
    <row r="326" spans="14:14" x14ac:dyDescent="0.2">
      <c r="N326" s="470"/>
    </row>
    <row r="327" spans="14:14" x14ac:dyDescent="0.2">
      <c r="N327" s="470"/>
    </row>
    <row r="328" spans="14:14" x14ac:dyDescent="0.2">
      <c r="N328" s="470"/>
    </row>
    <row r="329" spans="14:14" x14ac:dyDescent="0.2">
      <c r="N329" s="470"/>
    </row>
    <row r="330" spans="14:14" x14ac:dyDescent="0.2">
      <c r="N330" s="470"/>
    </row>
    <row r="331" spans="14:14" x14ac:dyDescent="0.2">
      <c r="N331" s="470"/>
    </row>
    <row r="332" spans="14:14" x14ac:dyDescent="0.2">
      <c r="N332" s="470"/>
    </row>
    <row r="333" spans="14:14" x14ac:dyDescent="0.2">
      <c r="N333" s="470"/>
    </row>
    <row r="334" spans="14:14" x14ac:dyDescent="0.2">
      <c r="N334" s="470"/>
    </row>
    <row r="335" spans="14:14" x14ac:dyDescent="0.2">
      <c r="N335" s="470"/>
    </row>
    <row r="336" spans="14:14" x14ac:dyDescent="0.2">
      <c r="N336" s="470"/>
    </row>
    <row r="337" spans="14:14" x14ac:dyDescent="0.2">
      <c r="N337" s="470"/>
    </row>
    <row r="338" spans="14:14" x14ac:dyDescent="0.2">
      <c r="N338" s="470"/>
    </row>
    <row r="339" spans="14:14" x14ac:dyDescent="0.2">
      <c r="N339" s="470"/>
    </row>
    <row r="340" spans="14:14" x14ac:dyDescent="0.2">
      <c r="N340" s="470"/>
    </row>
    <row r="341" spans="14:14" x14ac:dyDescent="0.2">
      <c r="N341" s="470"/>
    </row>
    <row r="342" spans="14:14" x14ac:dyDescent="0.2">
      <c r="N342" s="470"/>
    </row>
    <row r="343" spans="14:14" x14ac:dyDescent="0.2">
      <c r="N343" s="470"/>
    </row>
    <row r="344" spans="14:14" x14ac:dyDescent="0.2">
      <c r="N344" s="470"/>
    </row>
    <row r="345" spans="14:14" x14ac:dyDescent="0.2">
      <c r="N345" s="470"/>
    </row>
    <row r="346" spans="14:14" x14ac:dyDescent="0.2">
      <c r="N346" s="470"/>
    </row>
    <row r="347" spans="14:14" x14ac:dyDescent="0.2">
      <c r="N347" s="470"/>
    </row>
    <row r="348" spans="14:14" x14ac:dyDescent="0.2">
      <c r="N348" s="470"/>
    </row>
    <row r="349" spans="14:14" x14ac:dyDescent="0.2">
      <c r="N349" s="470"/>
    </row>
    <row r="350" spans="14:14" x14ac:dyDescent="0.2">
      <c r="N350" s="470"/>
    </row>
    <row r="351" spans="14:14" x14ac:dyDescent="0.2">
      <c r="N351" s="470"/>
    </row>
    <row r="352" spans="14:14" x14ac:dyDescent="0.2">
      <c r="N352" s="470"/>
    </row>
    <row r="353" spans="14:14" x14ac:dyDescent="0.2">
      <c r="N353" s="470"/>
    </row>
    <row r="354" spans="14:14" x14ac:dyDescent="0.2">
      <c r="N354" s="470"/>
    </row>
    <row r="355" spans="14:14" x14ac:dyDescent="0.2">
      <c r="N355" s="470"/>
    </row>
    <row r="356" spans="14:14" x14ac:dyDescent="0.2">
      <c r="N356" s="470"/>
    </row>
    <row r="357" spans="14:14" x14ac:dyDescent="0.2">
      <c r="N357" s="470"/>
    </row>
    <row r="358" spans="14:14" x14ac:dyDescent="0.2">
      <c r="N358" s="470"/>
    </row>
    <row r="359" spans="14:14" x14ac:dyDescent="0.2">
      <c r="N359" s="470"/>
    </row>
    <row r="360" spans="14:14" x14ac:dyDescent="0.2">
      <c r="N360" s="470"/>
    </row>
    <row r="361" spans="14:14" x14ac:dyDescent="0.2">
      <c r="N361" s="470"/>
    </row>
    <row r="362" spans="14:14" x14ac:dyDescent="0.2">
      <c r="N362" s="470"/>
    </row>
    <row r="363" spans="14:14" x14ac:dyDescent="0.2">
      <c r="N363" s="470"/>
    </row>
    <row r="364" spans="14:14" x14ac:dyDescent="0.2">
      <c r="N364" s="470"/>
    </row>
    <row r="365" spans="14:14" x14ac:dyDescent="0.2">
      <c r="N365" s="470"/>
    </row>
    <row r="366" spans="14:14" x14ac:dyDescent="0.2">
      <c r="N366" s="470"/>
    </row>
    <row r="367" spans="14:14" x14ac:dyDescent="0.2">
      <c r="N367" s="470"/>
    </row>
    <row r="368" spans="14:14" x14ac:dyDescent="0.2">
      <c r="N368" s="470"/>
    </row>
    <row r="369" spans="14:14" x14ac:dyDescent="0.2">
      <c r="N369" s="470"/>
    </row>
    <row r="370" spans="14:14" x14ac:dyDescent="0.2">
      <c r="N370" s="470"/>
    </row>
    <row r="371" spans="14:14" x14ac:dyDescent="0.2">
      <c r="N371" s="470"/>
    </row>
    <row r="372" spans="14:14" x14ac:dyDescent="0.2">
      <c r="N372" s="470"/>
    </row>
    <row r="373" spans="14:14" x14ac:dyDescent="0.2">
      <c r="N373" s="470"/>
    </row>
    <row r="374" spans="14:14" x14ac:dyDescent="0.2">
      <c r="N374" s="470"/>
    </row>
    <row r="375" spans="14:14" x14ac:dyDescent="0.2">
      <c r="N375" s="470"/>
    </row>
    <row r="376" spans="14:14" x14ac:dyDescent="0.2">
      <c r="N376" s="470"/>
    </row>
    <row r="377" spans="14:14" x14ac:dyDescent="0.2">
      <c r="N377" s="470"/>
    </row>
    <row r="378" spans="14:14" x14ac:dyDescent="0.2">
      <c r="N378" s="470"/>
    </row>
    <row r="379" spans="14:14" x14ac:dyDescent="0.2">
      <c r="N379" s="470"/>
    </row>
    <row r="380" spans="14:14" x14ac:dyDescent="0.2">
      <c r="N380" s="470"/>
    </row>
    <row r="381" spans="14:14" x14ac:dyDescent="0.2">
      <c r="N381" s="470"/>
    </row>
    <row r="382" spans="14:14" x14ac:dyDescent="0.2">
      <c r="N382" s="470"/>
    </row>
    <row r="383" spans="14:14" x14ac:dyDescent="0.2">
      <c r="N383" s="470"/>
    </row>
    <row r="384" spans="14:14" x14ac:dyDescent="0.2">
      <c r="N384" s="470"/>
    </row>
    <row r="385" spans="14:14" x14ac:dyDescent="0.2">
      <c r="N385" s="470"/>
    </row>
    <row r="386" spans="14:14" x14ac:dyDescent="0.2">
      <c r="N386" s="470"/>
    </row>
    <row r="387" spans="14:14" x14ac:dyDescent="0.2">
      <c r="N387" s="470"/>
    </row>
    <row r="388" spans="14:14" x14ac:dyDescent="0.2">
      <c r="N388" s="470"/>
    </row>
    <row r="389" spans="14:14" x14ac:dyDescent="0.2">
      <c r="N389" s="470"/>
    </row>
    <row r="390" spans="14:14" x14ac:dyDescent="0.2">
      <c r="N390" s="470"/>
    </row>
    <row r="391" spans="14:14" x14ac:dyDescent="0.2">
      <c r="N391" s="470"/>
    </row>
    <row r="392" spans="14:14" x14ac:dyDescent="0.2">
      <c r="N392" s="470"/>
    </row>
    <row r="393" spans="14:14" x14ac:dyDescent="0.2">
      <c r="N393" s="470"/>
    </row>
    <row r="394" spans="14:14" x14ac:dyDescent="0.2">
      <c r="N394" s="470"/>
    </row>
    <row r="395" spans="14:14" x14ac:dyDescent="0.2">
      <c r="N395" s="470"/>
    </row>
    <row r="396" spans="14:14" x14ac:dyDescent="0.2">
      <c r="N396" s="470"/>
    </row>
    <row r="397" spans="14:14" x14ac:dyDescent="0.2">
      <c r="N397" s="470"/>
    </row>
    <row r="398" spans="14:14" x14ac:dyDescent="0.2">
      <c r="N398" s="470"/>
    </row>
    <row r="399" spans="14:14" x14ac:dyDescent="0.2">
      <c r="N399" s="470"/>
    </row>
    <row r="400" spans="14:14" x14ac:dyDescent="0.2">
      <c r="N400" s="470"/>
    </row>
    <row r="401" spans="14:14" x14ac:dyDescent="0.2">
      <c r="N401" s="470"/>
    </row>
    <row r="402" spans="14:14" x14ac:dyDescent="0.2">
      <c r="N402" s="470"/>
    </row>
    <row r="403" spans="14:14" x14ac:dyDescent="0.2">
      <c r="N403" s="470"/>
    </row>
    <row r="404" spans="14:14" x14ac:dyDescent="0.2">
      <c r="N404" s="470"/>
    </row>
    <row r="405" spans="14:14" x14ac:dyDescent="0.2">
      <c r="N405" s="470"/>
    </row>
    <row r="406" spans="14:14" x14ac:dyDescent="0.2">
      <c r="N406" s="470"/>
    </row>
    <row r="407" spans="14:14" x14ac:dyDescent="0.2">
      <c r="N407" s="470"/>
    </row>
    <row r="408" spans="14:14" x14ac:dyDescent="0.2">
      <c r="N408" s="470"/>
    </row>
    <row r="409" spans="14:14" x14ac:dyDescent="0.2">
      <c r="N409" s="470"/>
    </row>
    <row r="410" spans="14:14" x14ac:dyDescent="0.2">
      <c r="N410" s="470"/>
    </row>
    <row r="411" spans="14:14" x14ac:dyDescent="0.2">
      <c r="N411" s="470"/>
    </row>
    <row r="412" spans="14:14" x14ac:dyDescent="0.2">
      <c r="N412" s="470"/>
    </row>
    <row r="413" spans="14:14" x14ac:dyDescent="0.2">
      <c r="N413" s="470"/>
    </row>
    <row r="414" spans="14:14" x14ac:dyDescent="0.2">
      <c r="N414" s="470"/>
    </row>
    <row r="415" spans="14:14" x14ac:dyDescent="0.2">
      <c r="N415" s="470"/>
    </row>
    <row r="416" spans="14:14" x14ac:dyDescent="0.2">
      <c r="N416" s="470"/>
    </row>
    <row r="417" spans="14:14" x14ac:dyDescent="0.2">
      <c r="N417" s="470"/>
    </row>
    <row r="418" spans="14:14" x14ac:dyDescent="0.2">
      <c r="N418" s="470"/>
    </row>
    <row r="419" spans="14:14" x14ac:dyDescent="0.2">
      <c r="N419" s="470"/>
    </row>
    <row r="420" spans="14:14" x14ac:dyDescent="0.2">
      <c r="N420" s="470"/>
    </row>
    <row r="421" spans="14:14" x14ac:dyDescent="0.2">
      <c r="N421" s="470"/>
    </row>
    <row r="422" spans="14:14" x14ac:dyDescent="0.2">
      <c r="N422" s="470"/>
    </row>
    <row r="423" spans="14:14" x14ac:dyDescent="0.2">
      <c r="N423" s="470"/>
    </row>
    <row r="424" spans="14:14" x14ac:dyDescent="0.2">
      <c r="N424" s="470"/>
    </row>
    <row r="425" spans="14:14" x14ac:dyDescent="0.2">
      <c r="N425" s="470"/>
    </row>
    <row r="426" spans="14:14" x14ac:dyDescent="0.2">
      <c r="N426" s="470"/>
    </row>
    <row r="427" spans="14:14" x14ac:dyDescent="0.2">
      <c r="N427" s="470"/>
    </row>
    <row r="428" spans="14:14" x14ac:dyDescent="0.2">
      <c r="N428" s="470"/>
    </row>
    <row r="429" spans="14:14" x14ac:dyDescent="0.2">
      <c r="N429" s="470"/>
    </row>
    <row r="430" spans="14:14" x14ac:dyDescent="0.2">
      <c r="N430" s="470"/>
    </row>
    <row r="431" spans="14:14" x14ac:dyDescent="0.2">
      <c r="N431" s="470"/>
    </row>
    <row r="432" spans="14:14" x14ac:dyDescent="0.2">
      <c r="N432" s="470"/>
    </row>
    <row r="433" spans="14:14" x14ac:dyDescent="0.2">
      <c r="N433" s="470"/>
    </row>
    <row r="434" spans="14:14" x14ac:dyDescent="0.2">
      <c r="N434" s="470"/>
    </row>
    <row r="435" spans="14:14" x14ac:dyDescent="0.2">
      <c r="N435" s="470"/>
    </row>
    <row r="436" spans="14:14" x14ac:dyDescent="0.2">
      <c r="N436" s="470"/>
    </row>
    <row r="437" spans="14:14" x14ac:dyDescent="0.2">
      <c r="N437" s="470"/>
    </row>
    <row r="438" spans="14:14" x14ac:dyDescent="0.2">
      <c r="N438" s="470"/>
    </row>
    <row r="439" spans="14:14" x14ac:dyDescent="0.2">
      <c r="N439" s="470"/>
    </row>
    <row r="440" spans="14:14" x14ac:dyDescent="0.2">
      <c r="N440" s="470"/>
    </row>
    <row r="441" spans="14:14" x14ac:dyDescent="0.2">
      <c r="N441" s="470"/>
    </row>
    <row r="442" spans="14:14" x14ac:dyDescent="0.2">
      <c r="N442" s="470"/>
    </row>
    <row r="443" spans="14:14" x14ac:dyDescent="0.2">
      <c r="N443" s="470"/>
    </row>
    <row r="444" spans="14:14" x14ac:dyDescent="0.2">
      <c r="N444" s="470"/>
    </row>
    <row r="445" spans="14:14" x14ac:dyDescent="0.2">
      <c r="N445" s="470"/>
    </row>
    <row r="446" spans="14:14" x14ac:dyDescent="0.2">
      <c r="N446" s="470"/>
    </row>
    <row r="447" spans="14:14" x14ac:dyDescent="0.2">
      <c r="N447" s="470"/>
    </row>
    <row r="448" spans="14:14" x14ac:dyDescent="0.2">
      <c r="N448" s="470"/>
    </row>
    <row r="449" spans="14:14" x14ac:dyDescent="0.2">
      <c r="N449" s="470"/>
    </row>
    <row r="450" spans="14:14" x14ac:dyDescent="0.2">
      <c r="N450" s="470"/>
    </row>
    <row r="451" spans="14:14" x14ac:dyDescent="0.2">
      <c r="N451" s="470"/>
    </row>
    <row r="452" spans="14:14" x14ac:dyDescent="0.2">
      <c r="N452" s="470"/>
    </row>
    <row r="453" spans="14:14" x14ac:dyDescent="0.2">
      <c r="N453" s="470"/>
    </row>
    <row r="454" spans="14:14" x14ac:dyDescent="0.2">
      <c r="N454" s="470"/>
    </row>
    <row r="455" spans="14:14" x14ac:dyDescent="0.2">
      <c r="N455" s="470"/>
    </row>
    <row r="456" spans="14:14" x14ac:dyDescent="0.2">
      <c r="N456" s="470"/>
    </row>
    <row r="457" spans="14:14" x14ac:dyDescent="0.2">
      <c r="N457" s="470"/>
    </row>
    <row r="458" spans="14:14" x14ac:dyDescent="0.2">
      <c r="N458" s="470"/>
    </row>
    <row r="459" spans="14:14" x14ac:dyDescent="0.2">
      <c r="N459" s="470"/>
    </row>
    <row r="460" spans="14:14" x14ac:dyDescent="0.2">
      <c r="N460" s="470"/>
    </row>
    <row r="461" spans="14:14" x14ac:dyDescent="0.2">
      <c r="N461" s="470"/>
    </row>
    <row r="462" spans="14:14" x14ac:dyDescent="0.2">
      <c r="N462" s="470"/>
    </row>
    <row r="463" spans="14:14" x14ac:dyDescent="0.2">
      <c r="N463" s="470"/>
    </row>
    <row r="464" spans="14:14" x14ac:dyDescent="0.2">
      <c r="N464" s="470"/>
    </row>
    <row r="465" spans="14:14" x14ac:dyDescent="0.2">
      <c r="N465" s="470"/>
    </row>
    <row r="466" spans="14:14" x14ac:dyDescent="0.2">
      <c r="N466" s="470"/>
    </row>
    <row r="467" spans="14:14" x14ac:dyDescent="0.2">
      <c r="N467" s="470"/>
    </row>
    <row r="468" spans="14:14" x14ac:dyDescent="0.2">
      <c r="N468" s="470"/>
    </row>
    <row r="469" spans="14:14" x14ac:dyDescent="0.2">
      <c r="N469" s="470"/>
    </row>
    <row r="470" spans="14:14" x14ac:dyDescent="0.2">
      <c r="N470" s="470"/>
    </row>
    <row r="471" spans="14:14" x14ac:dyDescent="0.2">
      <c r="N471" s="470"/>
    </row>
    <row r="472" spans="14:14" x14ac:dyDescent="0.2">
      <c r="N472" s="470"/>
    </row>
    <row r="473" spans="14:14" x14ac:dyDescent="0.2">
      <c r="N473" s="470"/>
    </row>
    <row r="474" spans="14:14" x14ac:dyDescent="0.2">
      <c r="N474" s="470"/>
    </row>
    <row r="475" spans="14:14" x14ac:dyDescent="0.2">
      <c r="N475" s="470"/>
    </row>
    <row r="476" spans="14:14" x14ac:dyDescent="0.2">
      <c r="N476" s="470"/>
    </row>
    <row r="477" spans="14:14" x14ac:dyDescent="0.2">
      <c r="N477" s="470"/>
    </row>
    <row r="478" spans="14:14" x14ac:dyDescent="0.2">
      <c r="N478" s="470"/>
    </row>
    <row r="479" spans="14:14" x14ac:dyDescent="0.2">
      <c r="N479" s="470"/>
    </row>
    <row r="480" spans="14:14" x14ac:dyDescent="0.2">
      <c r="N480" s="470"/>
    </row>
    <row r="481" spans="14:14" x14ac:dyDescent="0.2">
      <c r="N481" s="470"/>
    </row>
    <row r="482" spans="14:14" x14ac:dyDescent="0.2">
      <c r="N482" s="470"/>
    </row>
    <row r="483" spans="14:14" x14ac:dyDescent="0.2">
      <c r="N483" s="470"/>
    </row>
    <row r="484" spans="14:14" x14ac:dyDescent="0.2">
      <c r="N484" s="470"/>
    </row>
    <row r="485" spans="14:14" x14ac:dyDescent="0.2">
      <c r="N485" s="470"/>
    </row>
    <row r="486" spans="14:14" x14ac:dyDescent="0.2">
      <c r="N486" s="470"/>
    </row>
    <row r="487" spans="14:14" x14ac:dyDescent="0.2">
      <c r="N487" s="470"/>
    </row>
    <row r="488" spans="14:14" x14ac:dyDescent="0.2">
      <c r="N488" s="470"/>
    </row>
    <row r="489" spans="14:14" x14ac:dyDescent="0.2">
      <c r="N489" s="470"/>
    </row>
    <row r="490" spans="14:14" x14ac:dyDescent="0.2">
      <c r="N490" s="470"/>
    </row>
    <row r="491" spans="14:14" x14ac:dyDescent="0.2">
      <c r="N491" s="470"/>
    </row>
    <row r="492" spans="14:14" x14ac:dyDescent="0.2">
      <c r="N492" s="470"/>
    </row>
    <row r="493" spans="14:14" x14ac:dyDescent="0.2">
      <c r="N493" s="470"/>
    </row>
    <row r="494" spans="14:14" x14ac:dyDescent="0.2">
      <c r="N494" s="470"/>
    </row>
    <row r="495" spans="14:14" x14ac:dyDescent="0.2">
      <c r="N495" s="470"/>
    </row>
    <row r="496" spans="14:14" x14ac:dyDescent="0.2">
      <c r="N496" s="470"/>
    </row>
    <row r="497" spans="14:14" x14ac:dyDescent="0.2">
      <c r="N497" s="470"/>
    </row>
    <row r="498" spans="14:14" x14ac:dyDescent="0.2">
      <c r="N498" s="470"/>
    </row>
    <row r="499" spans="14:14" x14ac:dyDescent="0.2">
      <c r="N499" s="470"/>
    </row>
    <row r="500" spans="14:14" x14ac:dyDescent="0.2">
      <c r="N500" s="470"/>
    </row>
    <row r="501" spans="14:14" x14ac:dyDescent="0.2">
      <c r="N501" s="470"/>
    </row>
    <row r="502" spans="14:14" x14ac:dyDescent="0.2">
      <c r="N502" s="470"/>
    </row>
    <row r="503" spans="14:14" x14ac:dyDescent="0.2">
      <c r="N503" s="470"/>
    </row>
    <row r="504" spans="14:14" x14ac:dyDescent="0.2">
      <c r="N504" s="470"/>
    </row>
    <row r="505" spans="14:14" x14ac:dyDescent="0.2">
      <c r="N505" s="470"/>
    </row>
    <row r="506" spans="14:14" x14ac:dyDescent="0.2">
      <c r="N506" s="470"/>
    </row>
    <row r="507" spans="14:14" x14ac:dyDescent="0.2">
      <c r="N507" s="470"/>
    </row>
    <row r="508" spans="14:14" x14ac:dyDescent="0.2">
      <c r="N508" s="470"/>
    </row>
    <row r="509" spans="14:14" x14ac:dyDescent="0.2">
      <c r="N509" s="470"/>
    </row>
    <row r="510" spans="14:14" x14ac:dyDescent="0.2">
      <c r="N510" s="470"/>
    </row>
    <row r="511" spans="14:14" x14ac:dyDescent="0.2">
      <c r="N511" s="470"/>
    </row>
    <row r="512" spans="14:14" x14ac:dyDescent="0.2">
      <c r="N512" s="470"/>
    </row>
    <row r="513" spans="14:14" x14ac:dyDescent="0.2">
      <c r="N513" s="470"/>
    </row>
    <row r="514" spans="14:14" x14ac:dyDescent="0.2">
      <c r="N514" s="470"/>
    </row>
    <row r="515" spans="14:14" x14ac:dyDescent="0.2">
      <c r="N515" s="470"/>
    </row>
    <row r="516" spans="14:14" x14ac:dyDescent="0.2">
      <c r="N516" s="470"/>
    </row>
    <row r="517" spans="14:14" x14ac:dyDescent="0.2">
      <c r="N517" s="470"/>
    </row>
    <row r="518" spans="14:14" x14ac:dyDescent="0.2">
      <c r="N518" s="470"/>
    </row>
    <row r="519" spans="14:14" x14ac:dyDescent="0.2">
      <c r="N519" s="470"/>
    </row>
    <row r="520" spans="14:14" x14ac:dyDescent="0.2">
      <c r="N520" s="470"/>
    </row>
    <row r="521" spans="14:14" x14ac:dyDescent="0.2">
      <c r="N521" s="470"/>
    </row>
    <row r="522" spans="14:14" x14ac:dyDescent="0.2">
      <c r="N522" s="470"/>
    </row>
    <row r="523" spans="14:14" x14ac:dyDescent="0.2">
      <c r="N523" s="470"/>
    </row>
    <row r="524" spans="14:14" x14ac:dyDescent="0.2">
      <c r="N524" s="470"/>
    </row>
    <row r="525" spans="14:14" x14ac:dyDescent="0.2">
      <c r="N525" s="470"/>
    </row>
    <row r="526" spans="14:14" x14ac:dyDescent="0.2">
      <c r="N526" s="470"/>
    </row>
    <row r="527" spans="14:14" x14ac:dyDescent="0.2">
      <c r="N527" s="470"/>
    </row>
    <row r="528" spans="14:14" x14ac:dyDescent="0.2">
      <c r="N528" s="470"/>
    </row>
    <row r="529" spans="14:14" x14ac:dyDescent="0.2">
      <c r="N529" s="470"/>
    </row>
    <row r="530" spans="14:14" x14ac:dyDescent="0.2">
      <c r="N530" s="470"/>
    </row>
    <row r="531" spans="14:14" x14ac:dyDescent="0.2">
      <c r="N531" s="470"/>
    </row>
    <row r="532" spans="14:14" x14ac:dyDescent="0.2">
      <c r="N532" s="470"/>
    </row>
    <row r="533" spans="14:14" x14ac:dyDescent="0.2">
      <c r="N533" s="470"/>
    </row>
    <row r="534" spans="14:14" x14ac:dyDescent="0.2">
      <c r="N534" s="470"/>
    </row>
    <row r="535" spans="14:14" x14ac:dyDescent="0.2">
      <c r="N535" s="470"/>
    </row>
    <row r="536" spans="14:14" x14ac:dyDescent="0.2">
      <c r="N536" s="470"/>
    </row>
    <row r="537" spans="14:14" x14ac:dyDescent="0.2">
      <c r="N537" s="470"/>
    </row>
    <row r="538" spans="14:14" x14ac:dyDescent="0.2">
      <c r="N538" s="470"/>
    </row>
    <row r="539" spans="14:14" x14ac:dyDescent="0.2">
      <c r="N539" s="470"/>
    </row>
    <row r="540" spans="14:14" x14ac:dyDescent="0.2">
      <c r="N540" s="470"/>
    </row>
    <row r="541" spans="14:14" x14ac:dyDescent="0.2">
      <c r="N541" s="470"/>
    </row>
    <row r="542" spans="14:14" x14ac:dyDescent="0.2">
      <c r="N542" s="470"/>
    </row>
    <row r="543" spans="14:14" x14ac:dyDescent="0.2">
      <c r="N543" s="470"/>
    </row>
    <row r="544" spans="14:14" x14ac:dyDescent="0.2">
      <c r="N544" s="470"/>
    </row>
    <row r="545" spans="14:14" x14ac:dyDescent="0.2">
      <c r="N545" s="470"/>
    </row>
    <row r="546" spans="14:14" x14ac:dyDescent="0.2">
      <c r="N546" s="470"/>
    </row>
    <row r="547" spans="14:14" x14ac:dyDescent="0.2">
      <c r="N547" s="470"/>
    </row>
    <row r="548" spans="14:14" x14ac:dyDescent="0.2">
      <c r="N548" s="470"/>
    </row>
    <row r="549" spans="14:14" x14ac:dyDescent="0.2">
      <c r="N549" s="470"/>
    </row>
    <row r="550" spans="14:14" x14ac:dyDescent="0.2">
      <c r="N550" s="470"/>
    </row>
    <row r="551" spans="14:14" x14ac:dyDescent="0.2">
      <c r="N551" s="470"/>
    </row>
    <row r="552" spans="14:14" x14ac:dyDescent="0.2">
      <c r="N552" s="470"/>
    </row>
    <row r="553" spans="14:14" x14ac:dyDescent="0.2">
      <c r="N553" s="470"/>
    </row>
    <row r="554" spans="14:14" x14ac:dyDescent="0.2">
      <c r="N554" s="470"/>
    </row>
    <row r="555" spans="14:14" x14ac:dyDescent="0.2">
      <c r="N555" s="470"/>
    </row>
    <row r="556" spans="14:14" x14ac:dyDescent="0.2">
      <c r="N556" s="470"/>
    </row>
    <row r="557" spans="14:14" x14ac:dyDescent="0.2">
      <c r="N557" s="470"/>
    </row>
    <row r="558" spans="14:14" x14ac:dyDescent="0.2">
      <c r="N558" s="470"/>
    </row>
    <row r="559" spans="14:14" x14ac:dyDescent="0.2">
      <c r="N559" s="470"/>
    </row>
    <row r="560" spans="14:14" x14ac:dyDescent="0.2">
      <c r="N560" s="470"/>
    </row>
    <row r="561" spans="14:14" x14ac:dyDescent="0.2">
      <c r="N561" s="470"/>
    </row>
    <row r="562" spans="14:14" x14ac:dyDescent="0.2">
      <c r="N562" s="470"/>
    </row>
    <row r="563" spans="14:14" x14ac:dyDescent="0.2">
      <c r="N563" s="470"/>
    </row>
    <row r="564" spans="14:14" x14ac:dyDescent="0.2">
      <c r="N564" s="470"/>
    </row>
    <row r="565" spans="14:14" x14ac:dyDescent="0.2">
      <c r="N565" s="470"/>
    </row>
    <row r="566" spans="14:14" x14ac:dyDescent="0.2">
      <c r="N566" s="470"/>
    </row>
    <row r="567" spans="14:14" x14ac:dyDescent="0.2">
      <c r="N567" s="470"/>
    </row>
    <row r="568" spans="14:14" x14ac:dyDescent="0.2">
      <c r="N568" s="470"/>
    </row>
    <row r="569" spans="14:14" x14ac:dyDescent="0.2">
      <c r="N569" s="470"/>
    </row>
    <row r="570" spans="14:14" x14ac:dyDescent="0.2">
      <c r="N570" s="470"/>
    </row>
    <row r="571" spans="14:14" x14ac:dyDescent="0.2">
      <c r="N571" s="470"/>
    </row>
    <row r="572" spans="14:14" x14ac:dyDescent="0.2">
      <c r="N572" s="470"/>
    </row>
    <row r="573" spans="14:14" x14ac:dyDescent="0.2">
      <c r="N573" s="470"/>
    </row>
    <row r="574" spans="14:14" x14ac:dyDescent="0.2">
      <c r="N574" s="470"/>
    </row>
    <row r="575" spans="14:14" x14ac:dyDescent="0.2">
      <c r="N575" s="470"/>
    </row>
    <row r="576" spans="14:14" x14ac:dyDescent="0.2">
      <c r="N576" s="470"/>
    </row>
    <row r="577" spans="14:14" x14ac:dyDescent="0.2">
      <c r="N577" s="470"/>
    </row>
    <row r="578" spans="14:14" x14ac:dyDescent="0.2">
      <c r="N578" s="470"/>
    </row>
    <row r="579" spans="14:14" x14ac:dyDescent="0.2">
      <c r="N579" s="470"/>
    </row>
    <row r="580" spans="14:14" x14ac:dyDescent="0.2">
      <c r="N580" s="470"/>
    </row>
    <row r="581" spans="14:14" x14ac:dyDescent="0.2">
      <c r="N581" s="470"/>
    </row>
    <row r="582" spans="14:14" x14ac:dyDescent="0.2">
      <c r="N582" s="470"/>
    </row>
    <row r="583" spans="14:14" x14ac:dyDescent="0.2">
      <c r="N583" s="470"/>
    </row>
    <row r="584" spans="14:14" x14ac:dyDescent="0.2">
      <c r="N584" s="470"/>
    </row>
    <row r="585" spans="14:14" x14ac:dyDescent="0.2">
      <c r="N585" s="470"/>
    </row>
    <row r="586" spans="14:14" x14ac:dyDescent="0.2">
      <c r="N586" s="470"/>
    </row>
    <row r="587" spans="14:14" x14ac:dyDescent="0.2">
      <c r="N587" s="470"/>
    </row>
    <row r="588" spans="14:14" x14ac:dyDescent="0.2">
      <c r="N588" s="470"/>
    </row>
    <row r="589" spans="14:14" x14ac:dyDescent="0.2">
      <c r="N589" s="470"/>
    </row>
    <row r="590" spans="14:14" x14ac:dyDescent="0.2">
      <c r="N590" s="470"/>
    </row>
    <row r="591" spans="14:14" x14ac:dyDescent="0.2">
      <c r="N591" s="470"/>
    </row>
    <row r="592" spans="14:14" x14ac:dyDescent="0.2">
      <c r="N592" s="470"/>
    </row>
    <row r="593" spans="14:14" x14ac:dyDescent="0.2">
      <c r="N593" s="470"/>
    </row>
    <row r="594" spans="14:14" x14ac:dyDescent="0.2">
      <c r="N594" s="470"/>
    </row>
    <row r="595" spans="14:14" x14ac:dyDescent="0.2">
      <c r="N595" s="470"/>
    </row>
    <row r="596" spans="14:14" x14ac:dyDescent="0.2">
      <c r="N596" s="470"/>
    </row>
    <row r="597" spans="14:14" x14ac:dyDescent="0.2">
      <c r="N597" s="470"/>
    </row>
    <row r="598" spans="14:14" x14ac:dyDescent="0.2">
      <c r="N598" s="470"/>
    </row>
    <row r="599" spans="14:14" x14ac:dyDescent="0.2">
      <c r="N599" s="470"/>
    </row>
    <row r="600" spans="14:14" x14ac:dyDescent="0.2">
      <c r="N600" s="470"/>
    </row>
    <row r="601" spans="14:14" x14ac:dyDescent="0.2">
      <c r="N601" s="470"/>
    </row>
    <row r="602" spans="14:14" x14ac:dyDescent="0.2">
      <c r="N602" s="470"/>
    </row>
    <row r="603" spans="14:14" x14ac:dyDescent="0.2">
      <c r="N603" s="470"/>
    </row>
    <row r="604" spans="14:14" x14ac:dyDescent="0.2">
      <c r="N604" s="470"/>
    </row>
    <row r="605" spans="14:14" x14ac:dyDescent="0.2">
      <c r="N605" s="470"/>
    </row>
    <row r="606" spans="14:14" x14ac:dyDescent="0.2">
      <c r="N606" s="470"/>
    </row>
    <row r="607" spans="14:14" x14ac:dyDescent="0.2">
      <c r="N607" s="470"/>
    </row>
    <row r="608" spans="14:14" x14ac:dyDescent="0.2">
      <c r="N608" s="470"/>
    </row>
    <row r="609" spans="14:14" x14ac:dyDescent="0.2">
      <c r="N609" s="470"/>
    </row>
    <row r="610" spans="14:14" x14ac:dyDescent="0.2">
      <c r="N610" s="470"/>
    </row>
    <row r="611" spans="14:14" x14ac:dyDescent="0.2">
      <c r="N611" s="470"/>
    </row>
    <row r="612" spans="14:14" x14ac:dyDescent="0.2">
      <c r="N612" s="470"/>
    </row>
    <row r="613" spans="14:14" x14ac:dyDescent="0.2">
      <c r="N613" s="470"/>
    </row>
    <row r="614" spans="14:14" x14ac:dyDescent="0.2">
      <c r="N614" s="470"/>
    </row>
    <row r="615" spans="14:14" x14ac:dyDescent="0.2">
      <c r="N615" s="470"/>
    </row>
    <row r="616" spans="14:14" x14ac:dyDescent="0.2">
      <c r="N616" s="470"/>
    </row>
    <row r="617" spans="14:14" x14ac:dyDescent="0.2">
      <c r="N617" s="470"/>
    </row>
    <row r="618" spans="14:14" x14ac:dyDescent="0.2">
      <c r="N618" s="470"/>
    </row>
    <row r="619" spans="14:14" x14ac:dyDescent="0.2">
      <c r="N619" s="470"/>
    </row>
    <row r="620" spans="14:14" x14ac:dyDescent="0.2">
      <c r="N620" s="470"/>
    </row>
    <row r="621" spans="14:14" x14ac:dyDescent="0.2">
      <c r="N621" s="470"/>
    </row>
    <row r="622" spans="14:14" x14ac:dyDescent="0.2">
      <c r="N622" s="470"/>
    </row>
    <row r="623" spans="14:14" x14ac:dyDescent="0.2">
      <c r="N623" s="470"/>
    </row>
    <row r="624" spans="14:14" x14ac:dyDescent="0.2">
      <c r="N624" s="470"/>
    </row>
    <row r="625" spans="14:14" x14ac:dyDescent="0.2">
      <c r="N625" s="470"/>
    </row>
    <row r="626" spans="14:14" x14ac:dyDescent="0.2">
      <c r="N626" s="470"/>
    </row>
    <row r="627" spans="14:14" x14ac:dyDescent="0.2">
      <c r="N627" s="470"/>
    </row>
    <row r="628" spans="14:14" x14ac:dyDescent="0.2">
      <c r="N628" s="470"/>
    </row>
    <row r="629" spans="14:14" x14ac:dyDescent="0.2">
      <c r="N629" s="470"/>
    </row>
    <row r="630" spans="14:14" x14ac:dyDescent="0.2">
      <c r="N630" s="470"/>
    </row>
    <row r="631" spans="14:14" x14ac:dyDescent="0.2">
      <c r="N631" s="470"/>
    </row>
    <row r="632" spans="14:14" x14ac:dyDescent="0.2">
      <c r="N632" s="470"/>
    </row>
    <row r="633" spans="14:14" x14ac:dyDescent="0.2">
      <c r="N633" s="470"/>
    </row>
    <row r="634" spans="14:14" x14ac:dyDescent="0.2">
      <c r="N634" s="470"/>
    </row>
    <row r="635" spans="14:14" x14ac:dyDescent="0.2">
      <c r="N635" s="470"/>
    </row>
    <row r="636" spans="14:14" x14ac:dyDescent="0.2">
      <c r="N636" s="470"/>
    </row>
    <row r="637" spans="14:14" x14ac:dyDescent="0.2">
      <c r="N637" s="470"/>
    </row>
    <row r="638" spans="14:14" x14ac:dyDescent="0.2">
      <c r="N638" s="470"/>
    </row>
    <row r="639" spans="14:14" x14ac:dyDescent="0.2">
      <c r="N639" s="470"/>
    </row>
    <row r="640" spans="14:14" x14ac:dyDescent="0.2">
      <c r="N640" s="470"/>
    </row>
    <row r="641" spans="14:14" x14ac:dyDescent="0.2">
      <c r="N641" s="470"/>
    </row>
    <row r="642" spans="14:14" x14ac:dyDescent="0.2">
      <c r="N642" s="470"/>
    </row>
    <row r="643" spans="14:14" x14ac:dyDescent="0.2">
      <c r="N643" s="470"/>
    </row>
    <row r="644" spans="14:14" x14ac:dyDescent="0.2">
      <c r="N644" s="470"/>
    </row>
    <row r="645" spans="14:14" x14ac:dyDescent="0.2">
      <c r="N645" s="470"/>
    </row>
    <row r="646" spans="14:14" x14ac:dyDescent="0.2">
      <c r="N646" s="470"/>
    </row>
    <row r="647" spans="14:14" x14ac:dyDescent="0.2">
      <c r="N647" s="470"/>
    </row>
    <row r="648" spans="14:14" x14ac:dyDescent="0.2">
      <c r="N648" s="470"/>
    </row>
    <row r="649" spans="14:14" x14ac:dyDescent="0.2">
      <c r="N649" s="470"/>
    </row>
    <row r="650" spans="14:14" x14ac:dyDescent="0.2">
      <c r="N650" s="470"/>
    </row>
    <row r="651" spans="14:14" x14ac:dyDescent="0.2">
      <c r="N651" s="470"/>
    </row>
    <row r="652" spans="14:14" x14ac:dyDescent="0.2">
      <c r="N652" s="470"/>
    </row>
    <row r="653" spans="14:14" x14ac:dyDescent="0.2">
      <c r="N653" s="470"/>
    </row>
    <row r="654" spans="14:14" x14ac:dyDescent="0.2">
      <c r="N654" s="470"/>
    </row>
    <row r="655" spans="14:14" x14ac:dyDescent="0.2">
      <c r="N655" s="470"/>
    </row>
    <row r="656" spans="14:14" x14ac:dyDescent="0.2">
      <c r="N656" s="470"/>
    </row>
    <row r="657" spans="14:14" x14ac:dyDescent="0.2">
      <c r="N657" s="470"/>
    </row>
    <row r="658" spans="14:14" x14ac:dyDescent="0.2">
      <c r="N658" s="470"/>
    </row>
    <row r="659" spans="14:14" x14ac:dyDescent="0.2">
      <c r="N659" s="470"/>
    </row>
    <row r="660" spans="14:14" x14ac:dyDescent="0.2">
      <c r="N660" s="470"/>
    </row>
    <row r="661" spans="14:14" x14ac:dyDescent="0.2">
      <c r="N661" s="470"/>
    </row>
    <row r="662" spans="14:14" x14ac:dyDescent="0.2">
      <c r="N662" s="470"/>
    </row>
    <row r="663" spans="14:14" x14ac:dyDescent="0.2">
      <c r="N663" s="470"/>
    </row>
    <row r="664" spans="14:14" x14ac:dyDescent="0.2">
      <c r="N664" s="470"/>
    </row>
    <row r="665" spans="14:14" x14ac:dyDescent="0.2">
      <c r="N665" s="470"/>
    </row>
    <row r="666" spans="14:14" x14ac:dyDescent="0.2">
      <c r="N666" s="470"/>
    </row>
    <row r="667" spans="14:14" x14ac:dyDescent="0.2">
      <c r="N667" s="470"/>
    </row>
    <row r="668" spans="14:14" x14ac:dyDescent="0.2">
      <c r="N668" s="470"/>
    </row>
    <row r="669" spans="14:14" x14ac:dyDescent="0.2">
      <c r="N669" s="470"/>
    </row>
    <row r="670" spans="14:14" x14ac:dyDescent="0.2">
      <c r="N670" s="470"/>
    </row>
    <row r="671" spans="14:14" x14ac:dyDescent="0.2">
      <c r="N671" s="470"/>
    </row>
    <row r="672" spans="14:14" x14ac:dyDescent="0.2">
      <c r="N672" s="470"/>
    </row>
    <row r="673" spans="14:14" x14ac:dyDescent="0.2">
      <c r="N673" s="470"/>
    </row>
    <row r="674" spans="14:14" x14ac:dyDescent="0.2">
      <c r="N674" s="470"/>
    </row>
    <row r="675" spans="14:14" x14ac:dyDescent="0.2">
      <c r="N675" s="470"/>
    </row>
    <row r="676" spans="14:14" x14ac:dyDescent="0.2">
      <c r="N676" s="470"/>
    </row>
    <row r="677" spans="14:14" x14ac:dyDescent="0.2">
      <c r="N677" s="470"/>
    </row>
    <row r="678" spans="14:14" x14ac:dyDescent="0.2">
      <c r="N678" s="470"/>
    </row>
    <row r="679" spans="14:14" x14ac:dyDescent="0.2">
      <c r="N679" s="470"/>
    </row>
    <row r="680" spans="14:14" x14ac:dyDescent="0.2">
      <c r="N680" s="470"/>
    </row>
    <row r="681" spans="14:14" x14ac:dyDescent="0.2">
      <c r="N681" s="470"/>
    </row>
    <row r="682" spans="14:14" x14ac:dyDescent="0.2">
      <c r="N682" s="470"/>
    </row>
    <row r="683" spans="14:14" x14ac:dyDescent="0.2">
      <c r="N683" s="470"/>
    </row>
    <row r="684" spans="14:14" x14ac:dyDescent="0.2">
      <c r="N684" s="470"/>
    </row>
    <row r="685" spans="14:14" x14ac:dyDescent="0.2">
      <c r="N685" s="470"/>
    </row>
    <row r="686" spans="14:14" x14ac:dyDescent="0.2">
      <c r="N686" s="470"/>
    </row>
    <row r="687" spans="14:14" x14ac:dyDescent="0.2">
      <c r="N687" s="470"/>
    </row>
    <row r="688" spans="14:14" x14ac:dyDescent="0.2">
      <c r="N688" s="470"/>
    </row>
    <row r="689" spans="14:14" x14ac:dyDescent="0.2">
      <c r="N689" s="470"/>
    </row>
    <row r="690" spans="14:14" x14ac:dyDescent="0.2">
      <c r="N690" s="470"/>
    </row>
    <row r="691" spans="14:14" x14ac:dyDescent="0.2">
      <c r="N691" s="470"/>
    </row>
    <row r="692" spans="14:14" x14ac:dyDescent="0.2">
      <c r="N692" s="470"/>
    </row>
    <row r="693" spans="14:14" x14ac:dyDescent="0.2">
      <c r="N693" s="470"/>
    </row>
    <row r="694" spans="14:14" x14ac:dyDescent="0.2">
      <c r="N694" s="470"/>
    </row>
    <row r="695" spans="14:14" x14ac:dyDescent="0.2">
      <c r="N695" s="470"/>
    </row>
    <row r="696" spans="14:14" x14ac:dyDescent="0.2">
      <c r="N696" s="470"/>
    </row>
    <row r="697" spans="14:14" x14ac:dyDescent="0.2">
      <c r="N697" s="470"/>
    </row>
    <row r="698" spans="14:14" x14ac:dyDescent="0.2">
      <c r="N698" s="470"/>
    </row>
    <row r="699" spans="14:14" x14ac:dyDescent="0.2">
      <c r="N699" s="470"/>
    </row>
    <row r="700" spans="14:14" x14ac:dyDescent="0.2">
      <c r="N700" s="470"/>
    </row>
    <row r="701" spans="14:14" x14ac:dyDescent="0.2">
      <c r="N701" s="470"/>
    </row>
    <row r="702" spans="14:14" x14ac:dyDescent="0.2">
      <c r="N702" s="470"/>
    </row>
    <row r="703" spans="14:14" x14ac:dyDescent="0.2">
      <c r="N703" s="470"/>
    </row>
    <row r="704" spans="14:14" x14ac:dyDescent="0.2">
      <c r="N704" s="470"/>
    </row>
    <row r="705" spans="14:14" x14ac:dyDescent="0.2">
      <c r="N705" s="470"/>
    </row>
    <row r="706" spans="14:14" x14ac:dyDescent="0.2">
      <c r="N706" s="470"/>
    </row>
    <row r="707" spans="14:14" x14ac:dyDescent="0.2">
      <c r="N707" s="470"/>
    </row>
    <row r="708" spans="14:14" x14ac:dyDescent="0.2">
      <c r="N708" s="470"/>
    </row>
    <row r="709" spans="14:14" x14ac:dyDescent="0.2">
      <c r="N709" s="470"/>
    </row>
    <row r="710" spans="14:14" x14ac:dyDescent="0.2">
      <c r="N710" s="470"/>
    </row>
    <row r="711" spans="14:14" x14ac:dyDescent="0.2">
      <c r="N711" s="470"/>
    </row>
    <row r="712" spans="14:14" x14ac:dyDescent="0.2">
      <c r="N712" s="470"/>
    </row>
    <row r="713" spans="14:14" x14ac:dyDescent="0.2">
      <c r="N713" s="470"/>
    </row>
    <row r="714" spans="14:14" x14ac:dyDescent="0.2">
      <c r="N714" s="470"/>
    </row>
    <row r="715" spans="14:14" x14ac:dyDescent="0.2">
      <c r="N715" s="470"/>
    </row>
    <row r="716" spans="14:14" x14ac:dyDescent="0.2">
      <c r="N716" s="470"/>
    </row>
    <row r="717" spans="14:14" x14ac:dyDescent="0.2">
      <c r="N717" s="470"/>
    </row>
    <row r="718" spans="14:14" x14ac:dyDescent="0.2">
      <c r="N718" s="470"/>
    </row>
    <row r="719" spans="14:14" x14ac:dyDescent="0.2">
      <c r="N719" s="470"/>
    </row>
    <row r="720" spans="14:14" x14ac:dyDescent="0.2">
      <c r="N720" s="470"/>
    </row>
    <row r="721" spans="14:14" x14ac:dyDescent="0.2">
      <c r="N721" s="470"/>
    </row>
    <row r="722" spans="14:14" x14ac:dyDescent="0.2">
      <c r="N722" s="470"/>
    </row>
    <row r="723" spans="14:14" x14ac:dyDescent="0.2">
      <c r="N723" s="470"/>
    </row>
    <row r="724" spans="14:14" x14ac:dyDescent="0.2">
      <c r="N724" s="470"/>
    </row>
    <row r="725" spans="14:14" x14ac:dyDescent="0.2">
      <c r="N725" s="470"/>
    </row>
    <row r="726" spans="14:14" x14ac:dyDescent="0.2">
      <c r="N726" s="470"/>
    </row>
    <row r="727" spans="14:14" x14ac:dyDescent="0.2">
      <c r="N727" s="470"/>
    </row>
    <row r="728" spans="14:14" x14ac:dyDescent="0.2">
      <c r="N728" s="470"/>
    </row>
    <row r="729" spans="14:14" x14ac:dyDescent="0.2">
      <c r="N729" s="470"/>
    </row>
    <row r="730" spans="14:14" x14ac:dyDescent="0.2">
      <c r="N730" s="470"/>
    </row>
    <row r="731" spans="14:14" x14ac:dyDescent="0.2">
      <c r="N731" s="470"/>
    </row>
    <row r="732" spans="14:14" x14ac:dyDescent="0.2">
      <c r="N732" s="470"/>
    </row>
    <row r="733" spans="14:14" x14ac:dyDescent="0.2">
      <c r="N733" s="470"/>
    </row>
    <row r="734" spans="14:14" x14ac:dyDescent="0.2">
      <c r="N734" s="470"/>
    </row>
    <row r="735" spans="14:14" x14ac:dyDescent="0.2">
      <c r="N735" s="470"/>
    </row>
    <row r="736" spans="14:14" x14ac:dyDescent="0.2">
      <c r="N736" s="470"/>
    </row>
    <row r="737" spans="14:14" x14ac:dyDescent="0.2">
      <c r="N737" s="470"/>
    </row>
    <row r="738" spans="14:14" x14ac:dyDescent="0.2">
      <c r="N738" s="470"/>
    </row>
    <row r="739" spans="14:14" x14ac:dyDescent="0.2">
      <c r="N739" s="470"/>
    </row>
    <row r="740" spans="14:14" x14ac:dyDescent="0.2">
      <c r="N740" s="470"/>
    </row>
    <row r="741" spans="14:14" x14ac:dyDescent="0.2">
      <c r="N741" s="470"/>
    </row>
    <row r="742" spans="14:14" x14ac:dyDescent="0.2">
      <c r="N742" s="470"/>
    </row>
    <row r="743" spans="14:14" x14ac:dyDescent="0.2">
      <c r="N743" s="470"/>
    </row>
    <row r="744" spans="14:14" x14ac:dyDescent="0.2">
      <c r="N744" s="470"/>
    </row>
    <row r="745" spans="14:14" x14ac:dyDescent="0.2">
      <c r="N745" s="470"/>
    </row>
    <row r="746" spans="14:14" x14ac:dyDescent="0.2">
      <c r="N746" s="470"/>
    </row>
    <row r="747" spans="14:14" x14ac:dyDescent="0.2">
      <c r="N747" s="470"/>
    </row>
    <row r="748" spans="14:14" x14ac:dyDescent="0.2">
      <c r="N748" s="470"/>
    </row>
    <row r="749" spans="14:14" x14ac:dyDescent="0.2">
      <c r="N749" s="470"/>
    </row>
    <row r="750" spans="14:14" x14ac:dyDescent="0.2">
      <c r="N750" s="470"/>
    </row>
    <row r="751" spans="14:14" x14ac:dyDescent="0.2">
      <c r="N751" s="470"/>
    </row>
    <row r="752" spans="14:14" x14ac:dyDescent="0.2">
      <c r="N752" s="470"/>
    </row>
    <row r="753" spans="14:14" x14ac:dyDescent="0.2">
      <c r="N753" s="470"/>
    </row>
    <row r="754" spans="14:14" x14ac:dyDescent="0.2">
      <c r="N754" s="470"/>
    </row>
    <row r="755" spans="14:14" x14ac:dyDescent="0.2">
      <c r="N755" s="470"/>
    </row>
    <row r="756" spans="14:14" x14ac:dyDescent="0.2">
      <c r="N756" s="470"/>
    </row>
    <row r="757" spans="14:14" x14ac:dyDescent="0.2">
      <c r="N757" s="470"/>
    </row>
    <row r="758" spans="14:14" x14ac:dyDescent="0.2">
      <c r="N758" s="470"/>
    </row>
    <row r="759" spans="14:14" x14ac:dyDescent="0.2">
      <c r="N759" s="470"/>
    </row>
    <row r="760" spans="14:14" x14ac:dyDescent="0.2">
      <c r="N760" s="470"/>
    </row>
    <row r="761" spans="14:14" x14ac:dyDescent="0.2">
      <c r="N761" s="470"/>
    </row>
    <row r="762" spans="14:14" x14ac:dyDescent="0.2">
      <c r="N762" s="470"/>
    </row>
    <row r="763" spans="14:14" x14ac:dyDescent="0.2">
      <c r="N763" s="470"/>
    </row>
    <row r="764" spans="14:14" x14ac:dyDescent="0.2">
      <c r="N764" s="470"/>
    </row>
    <row r="765" spans="14:14" x14ac:dyDescent="0.2">
      <c r="N765" s="470"/>
    </row>
    <row r="766" spans="14:14" x14ac:dyDescent="0.2">
      <c r="N766" s="470"/>
    </row>
    <row r="767" spans="14:14" x14ac:dyDescent="0.2">
      <c r="N767" s="470"/>
    </row>
    <row r="768" spans="14:14" x14ac:dyDescent="0.2">
      <c r="N768" s="470"/>
    </row>
    <row r="769" spans="14:14" x14ac:dyDescent="0.2">
      <c r="N769" s="470"/>
    </row>
    <row r="770" spans="14:14" x14ac:dyDescent="0.2">
      <c r="N770" s="470"/>
    </row>
    <row r="771" spans="14:14" x14ac:dyDescent="0.2">
      <c r="N771" s="470"/>
    </row>
    <row r="772" spans="14:14" x14ac:dyDescent="0.2">
      <c r="N772" s="470"/>
    </row>
    <row r="773" spans="14:14" x14ac:dyDescent="0.2">
      <c r="N773" s="470"/>
    </row>
    <row r="774" spans="14:14" x14ac:dyDescent="0.2">
      <c r="N774" s="470"/>
    </row>
    <row r="775" spans="14:14" x14ac:dyDescent="0.2">
      <c r="N775" s="470"/>
    </row>
    <row r="776" spans="14:14" x14ac:dyDescent="0.2">
      <c r="N776" s="470"/>
    </row>
    <row r="777" spans="14:14" x14ac:dyDescent="0.2">
      <c r="N777" s="470"/>
    </row>
    <row r="778" spans="14:14" x14ac:dyDescent="0.2">
      <c r="N778" s="470"/>
    </row>
    <row r="779" spans="14:14" x14ac:dyDescent="0.2">
      <c r="N779" s="470"/>
    </row>
    <row r="780" spans="14:14" x14ac:dyDescent="0.2">
      <c r="N780" s="470"/>
    </row>
    <row r="781" spans="14:14" x14ac:dyDescent="0.2">
      <c r="N781" s="470"/>
    </row>
    <row r="782" spans="14:14" x14ac:dyDescent="0.2">
      <c r="N782" s="470"/>
    </row>
    <row r="783" spans="14:14" x14ac:dyDescent="0.2">
      <c r="N783" s="470"/>
    </row>
    <row r="784" spans="14:14" x14ac:dyDescent="0.2">
      <c r="N784" s="470"/>
    </row>
    <row r="785" spans="14:14" x14ac:dyDescent="0.2">
      <c r="N785" s="470"/>
    </row>
    <row r="786" spans="14:14" x14ac:dyDescent="0.2">
      <c r="N786" s="470"/>
    </row>
    <row r="787" spans="14:14" x14ac:dyDescent="0.2">
      <c r="N787" s="470"/>
    </row>
    <row r="788" spans="14:14" x14ac:dyDescent="0.2">
      <c r="N788" s="470"/>
    </row>
    <row r="789" spans="14:14" x14ac:dyDescent="0.2">
      <c r="N789" s="470"/>
    </row>
    <row r="790" spans="14:14" x14ac:dyDescent="0.2">
      <c r="N790" s="470"/>
    </row>
    <row r="791" spans="14:14" x14ac:dyDescent="0.2">
      <c r="N791" s="470"/>
    </row>
    <row r="792" spans="14:14" x14ac:dyDescent="0.2">
      <c r="N792" s="470"/>
    </row>
    <row r="793" spans="14:14" x14ac:dyDescent="0.2">
      <c r="N793" s="470"/>
    </row>
    <row r="794" spans="14:14" x14ac:dyDescent="0.2">
      <c r="N794" s="470"/>
    </row>
    <row r="795" spans="14:14" x14ac:dyDescent="0.2">
      <c r="N795" s="470"/>
    </row>
    <row r="796" spans="14:14" x14ac:dyDescent="0.2">
      <c r="N796" s="470"/>
    </row>
    <row r="797" spans="14:14" x14ac:dyDescent="0.2">
      <c r="N797" s="470"/>
    </row>
    <row r="798" spans="14:14" x14ac:dyDescent="0.2">
      <c r="N798" s="470"/>
    </row>
    <row r="799" spans="14:14" x14ac:dyDescent="0.2">
      <c r="N799" s="470"/>
    </row>
    <row r="800" spans="14:14" x14ac:dyDescent="0.2">
      <c r="N800" s="470"/>
    </row>
    <row r="801" spans="14:14" x14ac:dyDescent="0.2">
      <c r="N801" s="470"/>
    </row>
    <row r="802" spans="14:14" x14ac:dyDescent="0.2">
      <c r="N802" s="470"/>
    </row>
    <row r="803" spans="14:14" x14ac:dyDescent="0.2">
      <c r="N803" s="470"/>
    </row>
    <row r="804" spans="14:14" x14ac:dyDescent="0.2">
      <c r="N804" s="470"/>
    </row>
    <row r="805" spans="14:14" x14ac:dyDescent="0.2">
      <c r="N805" s="470"/>
    </row>
    <row r="806" spans="14:14" x14ac:dyDescent="0.2">
      <c r="N806" s="470"/>
    </row>
    <row r="807" spans="14:14" x14ac:dyDescent="0.2">
      <c r="N807" s="470"/>
    </row>
    <row r="808" spans="14:14" x14ac:dyDescent="0.2">
      <c r="N808" s="470"/>
    </row>
    <row r="809" spans="14:14" x14ac:dyDescent="0.2">
      <c r="N809" s="470"/>
    </row>
    <row r="810" spans="14:14" x14ac:dyDescent="0.2">
      <c r="N810" s="470"/>
    </row>
    <row r="811" spans="14:14" x14ac:dyDescent="0.2">
      <c r="N811" s="470"/>
    </row>
    <row r="812" spans="14:14" x14ac:dyDescent="0.2">
      <c r="N812" s="470"/>
    </row>
    <row r="813" spans="14:14" x14ac:dyDescent="0.2">
      <c r="N813" s="470"/>
    </row>
    <row r="814" spans="14:14" x14ac:dyDescent="0.2">
      <c r="N814" s="470"/>
    </row>
    <row r="815" spans="14:14" x14ac:dyDescent="0.2">
      <c r="N815" s="470"/>
    </row>
    <row r="816" spans="14:14" x14ac:dyDescent="0.2">
      <c r="N816" s="470"/>
    </row>
    <row r="817" spans="14:14" x14ac:dyDescent="0.2">
      <c r="N817" s="470"/>
    </row>
    <row r="818" spans="14:14" x14ac:dyDescent="0.2">
      <c r="N818" s="470"/>
    </row>
    <row r="819" spans="14:14" x14ac:dyDescent="0.2">
      <c r="N819" s="470"/>
    </row>
    <row r="820" spans="14:14" x14ac:dyDescent="0.2">
      <c r="N820" s="470"/>
    </row>
    <row r="821" spans="14:14" x14ac:dyDescent="0.2">
      <c r="N821" s="470"/>
    </row>
    <row r="822" spans="14:14" x14ac:dyDescent="0.2">
      <c r="N822" s="470"/>
    </row>
    <row r="823" spans="14:14" x14ac:dyDescent="0.2">
      <c r="N823" s="470"/>
    </row>
    <row r="824" spans="14:14" x14ac:dyDescent="0.2">
      <c r="N824" s="470"/>
    </row>
    <row r="825" spans="14:14" x14ac:dyDescent="0.2">
      <c r="N825" s="470"/>
    </row>
    <row r="826" spans="14:14" x14ac:dyDescent="0.2">
      <c r="N826" s="470"/>
    </row>
    <row r="827" spans="14:14" x14ac:dyDescent="0.2">
      <c r="N827" s="470"/>
    </row>
    <row r="828" spans="14:14" x14ac:dyDescent="0.2">
      <c r="N828" s="470"/>
    </row>
    <row r="829" spans="14:14" x14ac:dyDescent="0.2">
      <c r="N829" s="470"/>
    </row>
    <row r="830" spans="14:14" x14ac:dyDescent="0.2">
      <c r="N830" s="470"/>
    </row>
    <row r="831" spans="14:14" x14ac:dyDescent="0.2">
      <c r="N831" s="470"/>
    </row>
    <row r="832" spans="14:14" x14ac:dyDescent="0.2">
      <c r="N832" s="470"/>
    </row>
    <row r="833" spans="14:14" x14ac:dyDescent="0.2">
      <c r="N833" s="470"/>
    </row>
    <row r="834" spans="14:14" x14ac:dyDescent="0.2">
      <c r="N834" s="470"/>
    </row>
    <row r="835" spans="14:14" x14ac:dyDescent="0.2">
      <c r="N835" s="470"/>
    </row>
    <row r="836" spans="14:14" x14ac:dyDescent="0.2">
      <c r="N836" s="470"/>
    </row>
    <row r="837" spans="14:14" x14ac:dyDescent="0.2">
      <c r="N837" s="470"/>
    </row>
    <row r="838" spans="14:14" x14ac:dyDescent="0.2">
      <c r="N838" s="470"/>
    </row>
    <row r="839" spans="14:14" x14ac:dyDescent="0.2">
      <c r="N839" s="470"/>
    </row>
    <row r="840" spans="14:14" x14ac:dyDescent="0.2">
      <c r="N840" s="470"/>
    </row>
    <row r="841" spans="14:14" x14ac:dyDescent="0.2">
      <c r="N841" s="470"/>
    </row>
    <row r="842" spans="14:14" x14ac:dyDescent="0.2">
      <c r="N842" s="470"/>
    </row>
    <row r="843" spans="14:14" x14ac:dyDescent="0.2">
      <c r="N843" s="470"/>
    </row>
    <row r="844" spans="14:14" x14ac:dyDescent="0.2">
      <c r="N844" s="470"/>
    </row>
    <row r="845" spans="14:14" x14ac:dyDescent="0.2">
      <c r="N845" s="470"/>
    </row>
    <row r="846" spans="14:14" x14ac:dyDescent="0.2">
      <c r="N846" s="470"/>
    </row>
    <row r="847" spans="14:14" x14ac:dyDescent="0.2">
      <c r="N847" s="470"/>
    </row>
    <row r="848" spans="14:14" x14ac:dyDescent="0.2">
      <c r="N848" s="470"/>
    </row>
    <row r="849" spans="14:14" x14ac:dyDescent="0.2">
      <c r="N849" s="470"/>
    </row>
    <row r="850" spans="14:14" x14ac:dyDescent="0.2">
      <c r="N850" s="470"/>
    </row>
    <row r="851" spans="14:14" x14ac:dyDescent="0.2">
      <c r="N851" s="470"/>
    </row>
    <row r="852" spans="14:14" x14ac:dyDescent="0.2">
      <c r="N852" s="470"/>
    </row>
    <row r="853" spans="14:14" x14ac:dyDescent="0.2">
      <c r="N853" s="470"/>
    </row>
    <row r="854" spans="14:14" x14ac:dyDescent="0.2">
      <c r="N854" s="470"/>
    </row>
    <row r="855" spans="14:14" x14ac:dyDescent="0.2">
      <c r="N855" s="470"/>
    </row>
    <row r="856" spans="14:14" x14ac:dyDescent="0.2">
      <c r="N856" s="470"/>
    </row>
    <row r="857" spans="14:14" x14ac:dyDescent="0.2">
      <c r="N857" s="470"/>
    </row>
    <row r="858" spans="14:14" x14ac:dyDescent="0.2">
      <c r="N858" s="470"/>
    </row>
    <row r="859" spans="14:14" x14ac:dyDescent="0.2">
      <c r="N859" s="470"/>
    </row>
    <row r="860" spans="14:14" x14ac:dyDescent="0.2">
      <c r="N860" s="470"/>
    </row>
    <row r="861" spans="14:14" x14ac:dyDescent="0.2">
      <c r="N861" s="470"/>
    </row>
    <row r="862" spans="14:14" x14ac:dyDescent="0.2">
      <c r="N862" s="470"/>
    </row>
    <row r="863" spans="14:14" x14ac:dyDescent="0.2">
      <c r="N863" s="470"/>
    </row>
    <row r="864" spans="14:14" x14ac:dyDescent="0.2">
      <c r="N864" s="470"/>
    </row>
    <row r="865" spans="14:14" x14ac:dyDescent="0.2">
      <c r="N865" s="470"/>
    </row>
    <row r="866" spans="14:14" x14ac:dyDescent="0.2">
      <c r="N866" s="470"/>
    </row>
    <row r="867" spans="14:14" x14ac:dyDescent="0.2">
      <c r="N867" s="470"/>
    </row>
    <row r="868" spans="14:14" x14ac:dyDescent="0.2">
      <c r="N868" s="470"/>
    </row>
    <row r="869" spans="14:14" x14ac:dyDescent="0.2">
      <c r="N869" s="470"/>
    </row>
    <row r="870" spans="14:14" x14ac:dyDescent="0.2">
      <c r="N870" s="470"/>
    </row>
    <row r="871" spans="14:14" x14ac:dyDescent="0.2">
      <c r="N871" s="470"/>
    </row>
    <row r="872" spans="14:14" x14ac:dyDescent="0.2">
      <c r="N872" s="470"/>
    </row>
    <row r="873" spans="14:14" x14ac:dyDescent="0.2">
      <c r="N873" s="470"/>
    </row>
    <row r="874" spans="14:14" x14ac:dyDescent="0.2">
      <c r="N874" s="470"/>
    </row>
    <row r="875" spans="14:14" x14ac:dyDescent="0.2">
      <c r="N875" s="470"/>
    </row>
    <row r="876" spans="14:14" x14ac:dyDescent="0.2">
      <c r="N876" s="470"/>
    </row>
    <row r="877" spans="14:14" x14ac:dyDescent="0.2">
      <c r="N877" s="470"/>
    </row>
    <row r="878" spans="14:14" x14ac:dyDescent="0.2">
      <c r="N878" s="470"/>
    </row>
    <row r="879" spans="14:14" x14ac:dyDescent="0.2">
      <c r="N879" s="470"/>
    </row>
    <row r="880" spans="14:14" x14ac:dyDescent="0.2">
      <c r="N880" s="470"/>
    </row>
    <row r="881" spans="14:14" x14ac:dyDescent="0.2">
      <c r="N881" s="470"/>
    </row>
    <row r="882" spans="14:14" x14ac:dyDescent="0.2">
      <c r="N882" s="470"/>
    </row>
    <row r="883" spans="14:14" x14ac:dyDescent="0.2">
      <c r="N883" s="470"/>
    </row>
    <row r="884" spans="14:14" x14ac:dyDescent="0.2">
      <c r="N884" s="470"/>
    </row>
    <row r="885" spans="14:14" x14ac:dyDescent="0.2">
      <c r="N885" s="470"/>
    </row>
    <row r="886" spans="14:14" x14ac:dyDescent="0.2">
      <c r="N886" s="470"/>
    </row>
    <row r="887" spans="14:14" x14ac:dyDescent="0.2">
      <c r="N887" s="470"/>
    </row>
    <row r="888" spans="14:14" x14ac:dyDescent="0.2">
      <c r="N888" s="470"/>
    </row>
    <row r="889" spans="14:14" x14ac:dyDescent="0.2">
      <c r="N889" s="470"/>
    </row>
    <row r="890" spans="14:14" x14ac:dyDescent="0.2">
      <c r="N890" s="470"/>
    </row>
    <row r="891" spans="14:14" x14ac:dyDescent="0.2">
      <c r="N891" s="470"/>
    </row>
    <row r="892" spans="14:14" x14ac:dyDescent="0.2">
      <c r="N892" s="470"/>
    </row>
    <row r="893" spans="14:14" x14ac:dyDescent="0.2">
      <c r="N893" s="470"/>
    </row>
    <row r="894" spans="14:14" x14ac:dyDescent="0.2">
      <c r="N894" s="470"/>
    </row>
    <row r="895" spans="14:14" x14ac:dyDescent="0.2">
      <c r="N895" s="470"/>
    </row>
    <row r="896" spans="14:14" x14ac:dyDescent="0.2">
      <c r="N896" s="470"/>
    </row>
    <row r="897" spans="14:14" x14ac:dyDescent="0.2">
      <c r="N897" s="470"/>
    </row>
    <row r="898" spans="14:14" x14ac:dyDescent="0.2">
      <c r="N898" s="470"/>
    </row>
    <row r="899" spans="14:14" x14ac:dyDescent="0.2">
      <c r="N899" s="470"/>
    </row>
    <row r="900" spans="14:14" x14ac:dyDescent="0.2">
      <c r="N900" s="470"/>
    </row>
    <row r="901" spans="14:14" x14ac:dyDescent="0.2">
      <c r="N901" s="470"/>
    </row>
    <row r="902" spans="14:14" x14ac:dyDescent="0.2">
      <c r="N902" s="470"/>
    </row>
    <row r="903" spans="14:14" x14ac:dyDescent="0.2">
      <c r="N903" s="470"/>
    </row>
    <row r="904" spans="14:14" x14ac:dyDescent="0.2">
      <c r="N904" s="470"/>
    </row>
    <row r="905" spans="14:14" x14ac:dyDescent="0.2">
      <c r="N905" s="470"/>
    </row>
    <row r="906" spans="14:14" x14ac:dyDescent="0.2">
      <c r="N906" s="470"/>
    </row>
    <row r="907" spans="14:14" x14ac:dyDescent="0.2">
      <c r="N907" s="470"/>
    </row>
    <row r="908" spans="14:14" x14ac:dyDescent="0.2">
      <c r="N908" s="470"/>
    </row>
    <row r="909" spans="14:14" x14ac:dyDescent="0.2">
      <c r="N909" s="470"/>
    </row>
    <row r="910" spans="14:14" x14ac:dyDescent="0.2">
      <c r="N910" s="470"/>
    </row>
    <row r="911" spans="14:14" x14ac:dyDescent="0.2">
      <c r="N911" s="470"/>
    </row>
    <row r="912" spans="14:14" x14ac:dyDescent="0.2">
      <c r="N912" s="470"/>
    </row>
    <row r="913" spans="14:14" x14ac:dyDescent="0.2">
      <c r="N913" s="470"/>
    </row>
    <row r="914" spans="14:14" x14ac:dyDescent="0.2">
      <c r="N914" s="470"/>
    </row>
    <row r="915" spans="14:14" x14ac:dyDescent="0.2">
      <c r="N915" s="470"/>
    </row>
    <row r="916" spans="14:14" x14ac:dyDescent="0.2">
      <c r="N916" s="470"/>
    </row>
    <row r="917" spans="14:14" x14ac:dyDescent="0.2">
      <c r="N917" s="470"/>
    </row>
    <row r="918" spans="14:14" x14ac:dyDescent="0.2">
      <c r="N918" s="470"/>
    </row>
    <row r="919" spans="14:14" x14ac:dyDescent="0.2">
      <c r="N919" s="470"/>
    </row>
    <row r="920" spans="14:14" x14ac:dyDescent="0.2">
      <c r="N920" s="470"/>
    </row>
    <row r="921" spans="14:14" x14ac:dyDescent="0.2">
      <c r="N921" s="470"/>
    </row>
    <row r="922" spans="14:14" x14ac:dyDescent="0.2">
      <c r="N922" s="470"/>
    </row>
    <row r="923" spans="14:14" x14ac:dyDescent="0.2">
      <c r="N923" s="470"/>
    </row>
    <row r="924" spans="14:14" x14ac:dyDescent="0.2">
      <c r="N924" s="470"/>
    </row>
    <row r="925" spans="14:14" x14ac:dyDescent="0.2">
      <c r="N925" s="470"/>
    </row>
    <row r="926" spans="14:14" x14ac:dyDescent="0.2">
      <c r="N926" s="470"/>
    </row>
    <row r="927" spans="14:14" x14ac:dyDescent="0.2">
      <c r="N927" s="470"/>
    </row>
    <row r="928" spans="14:14" x14ac:dyDescent="0.2">
      <c r="N928" s="470"/>
    </row>
    <row r="929" spans="14:14" x14ac:dyDescent="0.2">
      <c r="N929" s="470"/>
    </row>
    <row r="930" spans="14:14" x14ac:dyDescent="0.2">
      <c r="N930" s="470"/>
    </row>
    <row r="931" spans="14:14" x14ac:dyDescent="0.2">
      <c r="N931" s="470"/>
    </row>
    <row r="932" spans="14:14" x14ac:dyDescent="0.2">
      <c r="N932" s="470"/>
    </row>
    <row r="933" spans="14:14" x14ac:dyDescent="0.2">
      <c r="N933" s="470"/>
    </row>
    <row r="934" spans="14:14" x14ac:dyDescent="0.2">
      <c r="N934" s="470"/>
    </row>
    <row r="935" spans="14:14" x14ac:dyDescent="0.2">
      <c r="N935" s="470"/>
    </row>
    <row r="936" spans="14:14" x14ac:dyDescent="0.2">
      <c r="N936" s="470"/>
    </row>
    <row r="937" spans="14:14" x14ac:dyDescent="0.2">
      <c r="N937" s="470"/>
    </row>
    <row r="938" spans="14:14" x14ac:dyDescent="0.2">
      <c r="N938" s="470"/>
    </row>
    <row r="939" spans="14:14" x14ac:dyDescent="0.2">
      <c r="N939" s="470"/>
    </row>
    <row r="940" spans="14:14" x14ac:dyDescent="0.2">
      <c r="N940" s="470"/>
    </row>
    <row r="941" spans="14:14" x14ac:dyDescent="0.2">
      <c r="N941" s="470"/>
    </row>
    <row r="942" spans="14:14" x14ac:dyDescent="0.2">
      <c r="N942" s="470"/>
    </row>
    <row r="943" spans="14:14" x14ac:dyDescent="0.2">
      <c r="N943" s="470"/>
    </row>
    <row r="944" spans="14:14" x14ac:dyDescent="0.2">
      <c r="N944" s="470"/>
    </row>
    <row r="945" spans="14:14" x14ac:dyDescent="0.2">
      <c r="N945" s="470"/>
    </row>
    <row r="946" spans="14:14" x14ac:dyDescent="0.2">
      <c r="N946" s="470"/>
    </row>
    <row r="947" spans="14:14" x14ac:dyDescent="0.2">
      <c r="N947" s="470"/>
    </row>
    <row r="948" spans="14:14" x14ac:dyDescent="0.2">
      <c r="N948" s="470"/>
    </row>
    <row r="949" spans="14:14" x14ac:dyDescent="0.2">
      <c r="N949" s="470"/>
    </row>
    <row r="950" spans="14:14" x14ac:dyDescent="0.2">
      <c r="N950" s="470"/>
    </row>
    <row r="951" spans="14:14" x14ac:dyDescent="0.2">
      <c r="N951" s="470"/>
    </row>
    <row r="952" spans="14:14" x14ac:dyDescent="0.2">
      <c r="N952" s="470"/>
    </row>
    <row r="953" spans="14:14" x14ac:dyDescent="0.2">
      <c r="N953" s="470"/>
    </row>
    <row r="954" spans="14:14" x14ac:dyDescent="0.2">
      <c r="N954" s="470"/>
    </row>
    <row r="955" spans="14:14" x14ac:dyDescent="0.2">
      <c r="N955" s="470"/>
    </row>
    <row r="956" spans="14:14" x14ac:dyDescent="0.2">
      <c r="N956" s="470"/>
    </row>
    <row r="957" spans="14:14" x14ac:dyDescent="0.2">
      <c r="N957" s="470"/>
    </row>
    <row r="958" spans="14:14" x14ac:dyDescent="0.2">
      <c r="N958" s="470"/>
    </row>
    <row r="959" spans="14:14" x14ac:dyDescent="0.2">
      <c r="N959" s="470"/>
    </row>
    <row r="960" spans="14:14" x14ac:dyDescent="0.2">
      <c r="N960" s="470"/>
    </row>
    <row r="961" spans="14:14" x14ac:dyDescent="0.2">
      <c r="N961" s="470"/>
    </row>
    <row r="962" spans="14:14" x14ac:dyDescent="0.2">
      <c r="N962" s="470"/>
    </row>
    <row r="963" spans="14:14" x14ac:dyDescent="0.2">
      <c r="N963" s="470"/>
    </row>
    <row r="964" spans="14:14" x14ac:dyDescent="0.2">
      <c r="N964" s="470"/>
    </row>
    <row r="965" spans="14:14" x14ac:dyDescent="0.2">
      <c r="N965" s="470"/>
    </row>
    <row r="966" spans="14:14" x14ac:dyDescent="0.2">
      <c r="N966" s="470"/>
    </row>
    <row r="967" spans="14:14" x14ac:dyDescent="0.2">
      <c r="N967" s="470"/>
    </row>
    <row r="968" spans="14:14" x14ac:dyDescent="0.2">
      <c r="N968" s="470"/>
    </row>
    <row r="969" spans="14:14" x14ac:dyDescent="0.2">
      <c r="N969" s="470"/>
    </row>
    <row r="970" spans="14:14" x14ac:dyDescent="0.2">
      <c r="N970" s="470"/>
    </row>
    <row r="971" spans="14:14" x14ac:dyDescent="0.2">
      <c r="N971" s="470"/>
    </row>
    <row r="972" spans="14:14" x14ac:dyDescent="0.2">
      <c r="N972" s="470"/>
    </row>
    <row r="973" spans="14:14" x14ac:dyDescent="0.2">
      <c r="N973" s="470"/>
    </row>
    <row r="974" spans="14:14" x14ac:dyDescent="0.2">
      <c r="N974" s="470"/>
    </row>
    <row r="975" spans="14:14" x14ac:dyDescent="0.2">
      <c r="N975" s="470"/>
    </row>
    <row r="976" spans="14:14" x14ac:dyDescent="0.2">
      <c r="N976" s="470"/>
    </row>
    <row r="977" spans="14:14" x14ac:dyDescent="0.2">
      <c r="N977" s="470"/>
    </row>
    <row r="978" spans="14:14" x14ac:dyDescent="0.2">
      <c r="N978" s="470"/>
    </row>
    <row r="979" spans="14:14" x14ac:dyDescent="0.2">
      <c r="N979" s="470"/>
    </row>
    <row r="980" spans="14:14" x14ac:dyDescent="0.2">
      <c r="N980" s="470"/>
    </row>
    <row r="981" spans="14:14" x14ac:dyDescent="0.2">
      <c r="N981" s="470"/>
    </row>
    <row r="982" spans="14:14" x14ac:dyDescent="0.2">
      <c r="N982" s="470"/>
    </row>
    <row r="983" spans="14:14" x14ac:dyDescent="0.2">
      <c r="N983" s="470"/>
    </row>
    <row r="984" spans="14:14" x14ac:dyDescent="0.2">
      <c r="N984" s="470"/>
    </row>
    <row r="985" spans="14:14" x14ac:dyDescent="0.2">
      <c r="N985" s="470"/>
    </row>
    <row r="986" spans="14:14" x14ac:dyDescent="0.2">
      <c r="N986" s="470"/>
    </row>
    <row r="987" spans="14:14" x14ac:dyDescent="0.2">
      <c r="N987" s="470"/>
    </row>
    <row r="988" spans="14:14" x14ac:dyDescent="0.2">
      <c r="N988" s="470"/>
    </row>
    <row r="989" spans="14:14" x14ac:dyDescent="0.2">
      <c r="N989" s="470"/>
    </row>
    <row r="990" spans="14:14" x14ac:dyDescent="0.2">
      <c r="N990" s="470"/>
    </row>
    <row r="991" spans="14:14" x14ac:dyDescent="0.2">
      <c r="N991" s="470"/>
    </row>
    <row r="992" spans="14:14" x14ac:dyDescent="0.2">
      <c r="N992" s="470"/>
    </row>
    <row r="993" spans="14:14" x14ac:dyDescent="0.2">
      <c r="N993" s="470"/>
    </row>
    <row r="994" spans="14:14" x14ac:dyDescent="0.2">
      <c r="N994" s="470"/>
    </row>
    <row r="995" spans="14:14" x14ac:dyDescent="0.2">
      <c r="N995" s="470"/>
    </row>
    <row r="996" spans="14:14" x14ac:dyDescent="0.2">
      <c r="N996" s="470"/>
    </row>
    <row r="997" spans="14:14" x14ac:dyDescent="0.2">
      <c r="N997" s="470"/>
    </row>
    <row r="998" spans="14:14" x14ac:dyDescent="0.2">
      <c r="N998" s="470"/>
    </row>
    <row r="999" spans="14:14" x14ac:dyDescent="0.2">
      <c r="N999" s="470"/>
    </row>
    <row r="1000" spans="14:14" x14ac:dyDescent="0.2">
      <c r="N1000" s="470"/>
    </row>
    <row r="1001" spans="14:14" x14ac:dyDescent="0.2">
      <c r="N1001" s="470"/>
    </row>
    <row r="1002" spans="14:14" x14ac:dyDescent="0.2">
      <c r="N1002" s="470"/>
    </row>
    <row r="1003" spans="14:14" x14ac:dyDescent="0.2">
      <c r="N1003" s="470"/>
    </row>
    <row r="1004" spans="14:14" x14ac:dyDescent="0.2">
      <c r="N1004" s="470"/>
    </row>
    <row r="1005" spans="14:14" x14ac:dyDescent="0.2">
      <c r="N1005" s="470"/>
    </row>
    <row r="1006" spans="14:14" x14ac:dyDescent="0.2">
      <c r="N1006" s="470"/>
    </row>
    <row r="1007" spans="14:14" x14ac:dyDescent="0.2">
      <c r="N1007" s="470"/>
    </row>
    <row r="1008" spans="14:14" x14ac:dyDescent="0.2">
      <c r="N1008" s="470"/>
    </row>
    <row r="1009" spans="14:14" x14ac:dyDescent="0.2">
      <c r="N1009" s="470"/>
    </row>
    <row r="1010" spans="14:14" x14ac:dyDescent="0.2">
      <c r="N1010" s="470"/>
    </row>
    <row r="1011" spans="14:14" x14ac:dyDescent="0.2">
      <c r="N1011" s="470"/>
    </row>
    <row r="1012" spans="14:14" x14ac:dyDescent="0.2">
      <c r="N1012" s="470"/>
    </row>
    <row r="1013" spans="14:14" x14ac:dyDescent="0.2">
      <c r="N1013" s="470"/>
    </row>
    <row r="1014" spans="14:14" x14ac:dyDescent="0.2">
      <c r="N1014" s="470"/>
    </row>
    <row r="1015" spans="14:14" x14ac:dyDescent="0.2">
      <c r="N1015" s="470"/>
    </row>
    <row r="1016" spans="14:14" x14ac:dyDescent="0.2">
      <c r="N1016" s="470"/>
    </row>
    <row r="1017" spans="14:14" x14ac:dyDescent="0.2">
      <c r="N1017" s="470"/>
    </row>
    <row r="1018" spans="14:14" x14ac:dyDescent="0.2">
      <c r="N1018" s="470"/>
    </row>
    <row r="1019" spans="14:14" x14ac:dyDescent="0.2">
      <c r="N1019" s="470"/>
    </row>
    <row r="1020" spans="14:14" x14ac:dyDescent="0.2">
      <c r="N1020" s="470"/>
    </row>
    <row r="1021" spans="14:14" x14ac:dyDescent="0.2">
      <c r="N1021" s="470"/>
    </row>
    <row r="1022" spans="14:14" x14ac:dyDescent="0.2">
      <c r="N1022" s="470"/>
    </row>
    <row r="1023" spans="14:14" x14ac:dyDescent="0.2">
      <c r="N1023" s="470"/>
    </row>
    <row r="1024" spans="14:14" x14ac:dyDescent="0.2">
      <c r="N1024" s="470"/>
    </row>
    <row r="1025" spans="14:14" x14ac:dyDescent="0.2">
      <c r="N1025" s="470"/>
    </row>
    <row r="1026" spans="14:14" x14ac:dyDescent="0.2">
      <c r="N1026" s="470"/>
    </row>
    <row r="1027" spans="14:14" x14ac:dyDescent="0.2">
      <c r="N1027" s="470"/>
    </row>
    <row r="1028" spans="14:14" x14ac:dyDescent="0.2">
      <c r="N1028" s="470"/>
    </row>
    <row r="1029" spans="14:14" x14ac:dyDescent="0.2">
      <c r="N1029" s="470"/>
    </row>
    <row r="1030" spans="14:14" x14ac:dyDescent="0.2">
      <c r="N1030" s="470"/>
    </row>
    <row r="1031" spans="14:14" x14ac:dyDescent="0.2">
      <c r="N1031" s="470"/>
    </row>
    <row r="1032" spans="14:14" x14ac:dyDescent="0.2">
      <c r="N1032" s="470"/>
    </row>
    <row r="1033" spans="14:14" x14ac:dyDescent="0.2">
      <c r="N1033" s="470"/>
    </row>
    <row r="1034" spans="14:14" x14ac:dyDescent="0.2">
      <c r="N1034" s="470"/>
    </row>
    <row r="1035" spans="14:14" x14ac:dyDescent="0.2">
      <c r="N1035" s="470"/>
    </row>
    <row r="1036" spans="14:14" x14ac:dyDescent="0.2">
      <c r="N1036" s="470"/>
    </row>
    <row r="1037" spans="14:14" x14ac:dyDescent="0.2">
      <c r="N1037" s="470"/>
    </row>
    <row r="1038" spans="14:14" x14ac:dyDescent="0.2">
      <c r="N1038" s="470"/>
    </row>
    <row r="1039" spans="14:14" x14ac:dyDescent="0.2">
      <c r="N1039" s="470"/>
    </row>
    <row r="1040" spans="14:14" x14ac:dyDescent="0.2">
      <c r="N1040" s="470"/>
    </row>
    <row r="1041" spans="14:14" x14ac:dyDescent="0.2">
      <c r="N1041" s="470"/>
    </row>
    <row r="1042" spans="14:14" x14ac:dyDescent="0.2">
      <c r="N1042" s="470"/>
    </row>
    <row r="1043" spans="14:14" x14ac:dyDescent="0.2">
      <c r="N1043" s="470"/>
    </row>
    <row r="1044" spans="14:14" x14ac:dyDescent="0.2">
      <c r="N1044" s="470"/>
    </row>
    <row r="1045" spans="14:14" x14ac:dyDescent="0.2">
      <c r="N1045" s="470"/>
    </row>
    <row r="1046" spans="14:14" x14ac:dyDescent="0.2">
      <c r="N1046" s="470"/>
    </row>
    <row r="1047" spans="14:14" x14ac:dyDescent="0.2">
      <c r="N1047" s="470"/>
    </row>
    <row r="1048" spans="14:14" x14ac:dyDescent="0.2">
      <c r="N1048" s="470"/>
    </row>
    <row r="1049" spans="14:14" x14ac:dyDescent="0.2">
      <c r="N1049" s="470"/>
    </row>
    <row r="1050" spans="14:14" x14ac:dyDescent="0.2">
      <c r="N1050" s="470"/>
    </row>
    <row r="1051" spans="14:14" x14ac:dyDescent="0.2">
      <c r="N1051" s="470"/>
    </row>
    <row r="1052" spans="14:14" x14ac:dyDescent="0.2">
      <c r="N1052" s="470"/>
    </row>
    <row r="1053" spans="14:14" x14ac:dyDescent="0.2">
      <c r="N1053" s="470"/>
    </row>
    <row r="1054" spans="14:14" x14ac:dyDescent="0.2">
      <c r="N1054" s="470"/>
    </row>
    <row r="1055" spans="14:14" x14ac:dyDescent="0.2">
      <c r="N1055" s="470"/>
    </row>
    <row r="1056" spans="14:14" x14ac:dyDescent="0.2">
      <c r="N1056" s="470"/>
    </row>
    <row r="1057" spans="14:14" x14ac:dyDescent="0.2">
      <c r="N1057" s="470"/>
    </row>
    <row r="1058" spans="14:14" x14ac:dyDescent="0.2">
      <c r="N1058" s="470"/>
    </row>
    <row r="1059" spans="14:14" x14ac:dyDescent="0.2">
      <c r="N1059" s="470"/>
    </row>
    <row r="1060" spans="14:14" x14ac:dyDescent="0.2">
      <c r="N1060" s="470"/>
    </row>
    <row r="1061" spans="14:14" x14ac:dyDescent="0.2">
      <c r="N1061" s="470"/>
    </row>
    <row r="1062" spans="14:14" x14ac:dyDescent="0.2">
      <c r="N1062" s="470"/>
    </row>
    <row r="1063" spans="14:14" x14ac:dyDescent="0.2">
      <c r="N1063" s="470"/>
    </row>
    <row r="1064" spans="14:14" x14ac:dyDescent="0.2">
      <c r="N1064" s="470"/>
    </row>
    <row r="1065" spans="14:14" x14ac:dyDescent="0.2">
      <c r="N1065" s="470"/>
    </row>
    <row r="1066" spans="14:14" x14ac:dyDescent="0.2">
      <c r="N1066" s="470"/>
    </row>
    <row r="1067" spans="14:14" x14ac:dyDescent="0.2">
      <c r="N1067" s="470"/>
    </row>
    <row r="1068" spans="14:14" x14ac:dyDescent="0.2">
      <c r="N1068" s="470"/>
    </row>
    <row r="1069" spans="14:14" x14ac:dyDescent="0.2">
      <c r="N1069" s="470"/>
    </row>
    <row r="1070" spans="14:14" x14ac:dyDescent="0.2">
      <c r="N1070" s="470"/>
    </row>
    <row r="1071" spans="14:14" x14ac:dyDescent="0.2">
      <c r="N1071" s="470"/>
    </row>
    <row r="1072" spans="14:14" x14ac:dyDescent="0.2">
      <c r="N1072" s="470"/>
    </row>
    <row r="1073" spans="14:14" x14ac:dyDescent="0.2">
      <c r="N1073" s="470"/>
    </row>
    <row r="1074" spans="14:14" x14ac:dyDescent="0.2">
      <c r="N1074" s="470"/>
    </row>
    <row r="1075" spans="14:14" x14ac:dyDescent="0.2">
      <c r="N1075" s="470"/>
    </row>
    <row r="1076" spans="14:14" x14ac:dyDescent="0.2">
      <c r="N1076" s="470"/>
    </row>
    <row r="1077" spans="14:14" x14ac:dyDescent="0.2">
      <c r="N1077" s="470"/>
    </row>
    <row r="1078" spans="14:14" x14ac:dyDescent="0.2">
      <c r="N1078" s="470"/>
    </row>
    <row r="1079" spans="14:14" x14ac:dyDescent="0.2">
      <c r="N1079" s="470"/>
    </row>
    <row r="1080" spans="14:14" x14ac:dyDescent="0.2">
      <c r="N1080" s="470"/>
    </row>
    <row r="1081" spans="14:14" x14ac:dyDescent="0.2">
      <c r="N1081" s="470"/>
    </row>
    <row r="1082" spans="14:14" x14ac:dyDescent="0.2">
      <c r="N1082" s="470"/>
    </row>
    <row r="1083" spans="14:14" x14ac:dyDescent="0.2">
      <c r="N1083" s="470"/>
    </row>
    <row r="1084" spans="14:14" x14ac:dyDescent="0.2">
      <c r="N1084" s="470"/>
    </row>
    <row r="1085" spans="14:14" x14ac:dyDescent="0.2">
      <c r="N1085" s="470"/>
    </row>
    <row r="1086" spans="14:14" x14ac:dyDescent="0.2">
      <c r="N1086" s="470"/>
    </row>
    <row r="1087" spans="14:14" x14ac:dyDescent="0.2">
      <c r="N1087" s="470"/>
    </row>
    <row r="1088" spans="14:14" x14ac:dyDescent="0.2">
      <c r="N1088" s="470"/>
    </row>
    <row r="1089" spans="14:14" x14ac:dyDescent="0.2">
      <c r="N1089" s="470"/>
    </row>
    <row r="1090" spans="14:14" x14ac:dyDescent="0.2">
      <c r="N1090" s="470"/>
    </row>
    <row r="1091" spans="14:14" x14ac:dyDescent="0.2">
      <c r="N1091" s="470"/>
    </row>
    <row r="1092" spans="14:14" x14ac:dyDescent="0.2">
      <c r="N1092" s="470"/>
    </row>
    <row r="1093" spans="14:14" x14ac:dyDescent="0.2">
      <c r="N1093" s="470"/>
    </row>
    <row r="1094" spans="14:14" x14ac:dyDescent="0.2">
      <c r="N1094" s="470"/>
    </row>
    <row r="1095" spans="14:14" x14ac:dyDescent="0.2">
      <c r="N1095" s="470"/>
    </row>
    <row r="1096" spans="14:14" x14ac:dyDescent="0.2">
      <c r="N1096" s="470"/>
    </row>
    <row r="1097" spans="14:14" x14ac:dyDescent="0.2">
      <c r="N1097" s="470"/>
    </row>
    <row r="1098" spans="14:14" x14ac:dyDescent="0.2">
      <c r="N1098" s="470"/>
    </row>
    <row r="1099" spans="14:14" x14ac:dyDescent="0.2">
      <c r="N1099" s="470"/>
    </row>
    <row r="1100" spans="14:14" x14ac:dyDescent="0.2">
      <c r="N1100" s="470"/>
    </row>
    <row r="1101" spans="14:14" x14ac:dyDescent="0.2">
      <c r="N1101" s="470"/>
    </row>
    <row r="1102" spans="14:14" x14ac:dyDescent="0.2">
      <c r="N1102" s="470"/>
    </row>
    <row r="1103" spans="14:14" x14ac:dyDescent="0.2">
      <c r="N1103" s="470"/>
    </row>
    <row r="1104" spans="14:14" x14ac:dyDescent="0.2">
      <c r="N1104" s="470"/>
    </row>
    <row r="1105" spans="14:14" x14ac:dyDescent="0.2">
      <c r="N1105" s="470"/>
    </row>
    <row r="1106" spans="14:14" x14ac:dyDescent="0.2">
      <c r="N1106" s="470"/>
    </row>
    <row r="1107" spans="14:14" x14ac:dyDescent="0.2">
      <c r="N1107" s="470"/>
    </row>
    <row r="1108" spans="14:14" x14ac:dyDescent="0.2">
      <c r="N1108" s="470"/>
    </row>
    <row r="1109" spans="14:14" x14ac:dyDescent="0.2">
      <c r="N1109" s="470"/>
    </row>
    <row r="1110" spans="14:14" x14ac:dyDescent="0.2">
      <c r="N1110" s="470"/>
    </row>
    <row r="1111" spans="14:14" x14ac:dyDescent="0.2">
      <c r="N1111" s="470"/>
    </row>
    <row r="1112" spans="14:14" x14ac:dyDescent="0.2">
      <c r="N1112" s="470"/>
    </row>
    <row r="1113" spans="14:14" x14ac:dyDescent="0.2">
      <c r="N1113" s="470"/>
    </row>
    <row r="1114" spans="14:14" x14ac:dyDescent="0.2">
      <c r="N1114" s="470"/>
    </row>
    <row r="1115" spans="14:14" x14ac:dyDescent="0.2">
      <c r="N1115" s="470"/>
    </row>
    <row r="1116" spans="14:14" x14ac:dyDescent="0.2">
      <c r="N1116" s="470"/>
    </row>
    <row r="1117" spans="14:14" x14ac:dyDescent="0.2">
      <c r="N1117" s="470"/>
    </row>
    <row r="1118" spans="14:14" x14ac:dyDescent="0.2">
      <c r="N1118" s="470"/>
    </row>
    <row r="1119" spans="14:14" x14ac:dyDescent="0.2">
      <c r="N1119" s="470"/>
    </row>
    <row r="1120" spans="14:14" x14ac:dyDescent="0.2">
      <c r="N1120" s="470"/>
    </row>
    <row r="1121" spans="14:14" x14ac:dyDescent="0.2">
      <c r="N1121" s="470"/>
    </row>
    <row r="1122" spans="14:14" x14ac:dyDescent="0.2">
      <c r="N1122" s="470"/>
    </row>
    <row r="1123" spans="14:14" x14ac:dyDescent="0.2">
      <c r="N1123" s="470"/>
    </row>
    <row r="1124" spans="14:14" x14ac:dyDescent="0.2">
      <c r="N1124" s="470"/>
    </row>
    <row r="1125" spans="14:14" x14ac:dyDescent="0.2">
      <c r="N1125" s="470"/>
    </row>
    <row r="1126" spans="14:14" x14ac:dyDescent="0.2">
      <c r="N1126" s="470"/>
    </row>
    <row r="1127" spans="14:14" x14ac:dyDescent="0.2">
      <c r="N1127" s="470"/>
    </row>
    <row r="1128" spans="14:14" x14ac:dyDescent="0.2">
      <c r="N1128" s="470"/>
    </row>
    <row r="1129" spans="14:14" x14ac:dyDescent="0.2">
      <c r="N1129" s="470"/>
    </row>
    <row r="1130" spans="14:14" x14ac:dyDescent="0.2">
      <c r="N1130" s="470"/>
    </row>
    <row r="1131" spans="14:14" x14ac:dyDescent="0.2">
      <c r="N1131" s="470"/>
    </row>
    <row r="1132" spans="14:14" x14ac:dyDescent="0.2">
      <c r="N1132" s="470"/>
    </row>
    <row r="1133" spans="14:14" x14ac:dyDescent="0.2">
      <c r="N1133" s="470"/>
    </row>
    <row r="1134" spans="14:14" x14ac:dyDescent="0.2">
      <c r="N1134" s="470"/>
    </row>
    <row r="1135" spans="14:14" x14ac:dyDescent="0.2">
      <c r="N1135" s="470"/>
    </row>
    <row r="1136" spans="14:14" x14ac:dyDescent="0.2">
      <c r="N1136" s="470"/>
    </row>
    <row r="1137" spans="14:14" x14ac:dyDescent="0.2">
      <c r="N1137" s="470"/>
    </row>
    <row r="1138" spans="14:14" x14ac:dyDescent="0.2">
      <c r="N1138" s="470"/>
    </row>
    <row r="1139" spans="14:14" x14ac:dyDescent="0.2">
      <c r="N1139" s="470"/>
    </row>
    <row r="1140" spans="14:14" x14ac:dyDescent="0.2">
      <c r="N1140" s="470"/>
    </row>
    <row r="1141" spans="14:14" x14ac:dyDescent="0.2">
      <c r="N1141" s="470"/>
    </row>
    <row r="1142" spans="14:14" x14ac:dyDescent="0.2">
      <c r="N1142" s="470"/>
    </row>
    <row r="1143" spans="14:14" x14ac:dyDescent="0.2">
      <c r="N1143" s="470"/>
    </row>
    <row r="1144" spans="14:14" x14ac:dyDescent="0.2">
      <c r="N1144" s="470"/>
    </row>
    <row r="1145" spans="14:14" x14ac:dyDescent="0.2">
      <c r="N1145" s="470"/>
    </row>
    <row r="1146" spans="14:14" x14ac:dyDescent="0.2">
      <c r="N1146" s="470"/>
    </row>
    <row r="1147" spans="14:14" x14ac:dyDescent="0.2">
      <c r="N1147" s="470"/>
    </row>
    <row r="1148" spans="14:14" x14ac:dyDescent="0.2">
      <c r="N1148" s="470"/>
    </row>
    <row r="1149" spans="14:14" x14ac:dyDescent="0.2">
      <c r="N1149" s="470"/>
    </row>
    <row r="1150" spans="14:14" x14ac:dyDescent="0.2">
      <c r="N1150" s="470"/>
    </row>
    <row r="1151" spans="14:14" x14ac:dyDescent="0.2">
      <c r="N1151" s="470"/>
    </row>
    <row r="1152" spans="14:14" x14ac:dyDescent="0.2">
      <c r="N1152" s="470"/>
    </row>
    <row r="1153" spans="14:14" x14ac:dyDescent="0.2">
      <c r="N1153" s="470"/>
    </row>
    <row r="1154" spans="14:14" x14ac:dyDescent="0.2">
      <c r="N1154" s="470"/>
    </row>
    <row r="1155" spans="14:14" x14ac:dyDescent="0.2">
      <c r="N1155" s="470"/>
    </row>
    <row r="1156" spans="14:14" x14ac:dyDescent="0.2">
      <c r="N1156" s="470"/>
    </row>
    <row r="1157" spans="14:14" x14ac:dyDescent="0.2">
      <c r="N1157" s="470"/>
    </row>
    <row r="1158" spans="14:14" x14ac:dyDescent="0.2">
      <c r="N1158" s="470"/>
    </row>
    <row r="1159" spans="14:14" x14ac:dyDescent="0.2">
      <c r="N1159" s="470"/>
    </row>
    <row r="1160" spans="14:14" x14ac:dyDescent="0.2">
      <c r="N1160" s="470"/>
    </row>
    <row r="1161" spans="14:14" x14ac:dyDescent="0.2">
      <c r="N1161" s="470"/>
    </row>
    <row r="1162" spans="14:14" x14ac:dyDescent="0.2">
      <c r="N1162" s="470"/>
    </row>
    <row r="1163" spans="14:14" x14ac:dyDescent="0.2">
      <c r="N1163" s="470"/>
    </row>
    <row r="1164" spans="14:14" x14ac:dyDescent="0.2">
      <c r="N1164" s="470"/>
    </row>
    <row r="1165" spans="14:14" x14ac:dyDescent="0.2">
      <c r="N1165" s="470"/>
    </row>
    <row r="1166" spans="14:14" x14ac:dyDescent="0.2">
      <c r="N1166" s="470"/>
    </row>
    <row r="1167" spans="14:14" x14ac:dyDescent="0.2">
      <c r="N1167" s="470"/>
    </row>
    <row r="1168" spans="14:14" x14ac:dyDescent="0.2">
      <c r="N1168" s="470"/>
    </row>
    <row r="1169" spans="14:14" x14ac:dyDescent="0.2">
      <c r="N1169" s="470"/>
    </row>
    <row r="1170" spans="14:14" x14ac:dyDescent="0.2">
      <c r="N1170" s="470"/>
    </row>
    <row r="1171" spans="14:14" x14ac:dyDescent="0.2">
      <c r="N1171" s="470"/>
    </row>
    <row r="1172" spans="14:14" x14ac:dyDescent="0.2">
      <c r="N1172" s="470"/>
    </row>
    <row r="1173" spans="14:14" x14ac:dyDescent="0.2">
      <c r="N1173" s="470"/>
    </row>
    <row r="1174" spans="14:14" x14ac:dyDescent="0.2">
      <c r="N1174" s="470"/>
    </row>
    <row r="1175" spans="14:14" x14ac:dyDescent="0.2">
      <c r="N1175" s="470"/>
    </row>
    <row r="1176" spans="14:14" x14ac:dyDescent="0.2">
      <c r="N1176" s="470"/>
    </row>
    <row r="1177" spans="14:14" x14ac:dyDescent="0.2">
      <c r="N1177" s="470"/>
    </row>
    <row r="1178" spans="14:14" x14ac:dyDescent="0.2">
      <c r="N1178" s="470"/>
    </row>
    <row r="1179" spans="14:14" x14ac:dyDescent="0.2">
      <c r="N1179" s="470"/>
    </row>
    <row r="1180" spans="14:14" x14ac:dyDescent="0.2">
      <c r="N1180" s="470"/>
    </row>
    <row r="1181" spans="14:14" x14ac:dyDescent="0.2">
      <c r="N1181" s="470"/>
    </row>
    <row r="1182" spans="14:14" x14ac:dyDescent="0.2">
      <c r="N1182" s="470"/>
    </row>
    <row r="1183" spans="14:14" x14ac:dyDescent="0.2">
      <c r="N1183" s="470"/>
    </row>
    <row r="1184" spans="14:14" x14ac:dyDescent="0.2">
      <c r="N1184" s="470"/>
    </row>
    <row r="1185" spans="14:14" x14ac:dyDescent="0.2">
      <c r="N1185" s="470"/>
    </row>
    <row r="1186" spans="14:14" x14ac:dyDescent="0.2">
      <c r="N1186" s="470"/>
    </row>
    <row r="1187" spans="14:14" x14ac:dyDescent="0.2">
      <c r="N1187" s="470"/>
    </row>
    <row r="1188" spans="14:14" x14ac:dyDescent="0.2">
      <c r="N1188" s="470"/>
    </row>
    <row r="1189" spans="14:14" x14ac:dyDescent="0.2">
      <c r="N1189" s="470"/>
    </row>
    <row r="1190" spans="14:14" x14ac:dyDescent="0.2">
      <c r="N1190" s="470"/>
    </row>
    <row r="1191" spans="14:14" x14ac:dyDescent="0.2">
      <c r="N1191" s="470"/>
    </row>
    <row r="1192" spans="14:14" x14ac:dyDescent="0.2">
      <c r="N1192" s="470"/>
    </row>
    <row r="1193" spans="14:14" x14ac:dyDescent="0.2">
      <c r="N1193" s="470"/>
    </row>
    <row r="1194" spans="14:14" x14ac:dyDescent="0.2">
      <c r="N1194" s="470"/>
    </row>
    <row r="1195" spans="14:14" x14ac:dyDescent="0.2">
      <c r="N1195" s="470"/>
    </row>
    <row r="1196" spans="14:14" x14ac:dyDescent="0.2">
      <c r="N1196" s="470"/>
    </row>
    <row r="1197" spans="14:14" x14ac:dyDescent="0.2">
      <c r="N1197" s="470"/>
    </row>
    <row r="1198" spans="14:14" x14ac:dyDescent="0.2">
      <c r="N1198" s="470"/>
    </row>
    <row r="1199" spans="14:14" x14ac:dyDescent="0.2">
      <c r="N1199" s="470"/>
    </row>
    <row r="1200" spans="14:14" x14ac:dyDescent="0.2">
      <c r="N1200" s="470"/>
    </row>
    <row r="1201" spans="14:14" x14ac:dyDescent="0.2">
      <c r="N1201" s="470"/>
    </row>
    <row r="1202" spans="14:14" x14ac:dyDescent="0.2">
      <c r="N1202" s="470"/>
    </row>
    <row r="1203" spans="14:14" x14ac:dyDescent="0.2">
      <c r="N1203" s="470"/>
    </row>
    <row r="1204" spans="14:14" x14ac:dyDescent="0.2">
      <c r="N1204" s="470"/>
    </row>
    <row r="1205" spans="14:14" x14ac:dyDescent="0.2">
      <c r="N1205" s="470"/>
    </row>
    <row r="1206" spans="14:14" x14ac:dyDescent="0.2">
      <c r="N1206" s="470"/>
    </row>
    <row r="1207" spans="14:14" x14ac:dyDescent="0.2">
      <c r="N1207" s="470"/>
    </row>
    <row r="1208" spans="14:14" x14ac:dyDescent="0.2">
      <c r="N1208" s="470"/>
    </row>
    <row r="1209" spans="14:14" x14ac:dyDescent="0.2">
      <c r="N1209" s="470"/>
    </row>
    <row r="1210" spans="14:14" x14ac:dyDescent="0.2">
      <c r="N1210" s="470"/>
    </row>
    <row r="1211" spans="14:14" x14ac:dyDescent="0.2">
      <c r="N1211" s="470"/>
    </row>
    <row r="1212" spans="14:14" x14ac:dyDescent="0.2">
      <c r="N1212" s="470"/>
    </row>
    <row r="1213" spans="14:14" x14ac:dyDescent="0.2">
      <c r="N1213" s="470"/>
    </row>
    <row r="1214" spans="14:14" x14ac:dyDescent="0.2">
      <c r="N1214" s="470"/>
    </row>
    <row r="1215" spans="14:14" x14ac:dyDescent="0.2">
      <c r="N1215" s="470"/>
    </row>
    <row r="1216" spans="14:14" x14ac:dyDescent="0.2">
      <c r="N1216" s="470"/>
    </row>
    <row r="1217" spans="14:14" x14ac:dyDescent="0.2">
      <c r="N1217" s="470"/>
    </row>
    <row r="1218" spans="14:14" x14ac:dyDescent="0.2">
      <c r="N1218" s="470"/>
    </row>
    <row r="1219" spans="14:14" x14ac:dyDescent="0.2">
      <c r="N1219" s="470"/>
    </row>
    <row r="1220" spans="14:14" x14ac:dyDescent="0.2">
      <c r="N1220" s="470"/>
    </row>
    <row r="1221" spans="14:14" x14ac:dyDescent="0.2">
      <c r="N1221" s="470"/>
    </row>
    <row r="1222" spans="14:14" x14ac:dyDescent="0.2">
      <c r="N1222" s="470"/>
    </row>
    <row r="1223" spans="14:14" x14ac:dyDescent="0.2">
      <c r="N1223" s="470"/>
    </row>
    <row r="1224" spans="14:14" x14ac:dyDescent="0.2">
      <c r="N1224" s="470"/>
    </row>
    <row r="1225" spans="14:14" x14ac:dyDescent="0.2">
      <c r="N1225" s="470"/>
    </row>
    <row r="1226" spans="14:14" x14ac:dyDescent="0.2">
      <c r="N1226" s="470"/>
    </row>
    <row r="1227" spans="14:14" x14ac:dyDescent="0.2">
      <c r="N1227" s="470"/>
    </row>
    <row r="1228" spans="14:14" x14ac:dyDescent="0.2">
      <c r="N1228" s="470"/>
    </row>
    <row r="1229" spans="14:14" x14ac:dyDescent="0.2">
      <c r="N1229" s="470"/>
    </row>
    <row r="1230" spans="14:14" x14ac:dyDescent="0.2">
      <c r="N1230" s="470"/>
    </row>
    <row r="1231" spans="14:14" x14ac:dyDescent="0.2">
      <c r="N1231" s="470"/>
    </row>
    <row r="1232" spans="14:14" x14ac:dyDescent="0.2">
      <c r="N1232" s="470"/>
    </row>
    <row r="1233" spans="14:14" x14ac:dyDescent="0.2">
      <c r="N1233" s="470"/>
    </row>
    <row r="1234" spans="14:14" x14ac:dyDescent="0.2">
      <c r="N1234" s="470"/>
    </row>
    <row r="1235" spans="14:14" x14ac:dyDescent="0.2">
      <c r="N1235" s="470"/>
    </row>
    <row r="1236" spans="14:14" x14ac:dyDescent="0.2">
      <c r="N1236" s="470"/>
    </row>
    <row r="1237" spans="14:14" x14ac:dyDescent="0.2">
      <c r="N1237" s="470"/>
    </row>
    <row r="1238" spans="14:14" x14ac:dyDescent="0.2">
      <c r="N1238" s="470"/>
    </row>
    <row r="1239" spans="14:14" x14ac:dyDescent="0.2">
      <c r="N1239" s="470"/>
    </row>
    <row r="1240" spans="14:14" x14ac:dyDescent="0.2">
      <c r="N1240" s="470"/>
    </row>
    <row r="1241" spans="14:14" x14ac:dyDescent="0.2">
      <c r="N1241" s="470"/>
    </row>
    <row r="1242" spans="14:14" x14ac:dyDescent="0.2">
      <c r="N1242" s="470"/>
    </row>
    <row r="1243" spans="14:14" x14ac:dyDescent="0.2">
      <c r="N1243" s="470"/>
    </row>
    <row r="1244" spans="14:14" x14ac:dyDescent="0.2">
      <c r="N1244" s="470"/>
    </row>
    <row r="1245" spans="14:14" x14ac:dyDescent="0.2">
      <c r="N1245" s="470"/>
    </row>
    <row r="1246" spans="14:14" x14ac:dyDescent="0.2">
      <c r="N1246" s="470"/>
    </row>
    <row r="1247" spans="14:14" x14ac:dyDescent="0.2">
      <c r="N1247" s="470"/>
    </row>
    <row r="1248" spans="14:14" x14ac:dyDescent="0.2">
      <c r="N1248" s="470"/>
    </row>
    <row r="1249" spans="14:14" x14ac:dyDescent="0.2">
      <c r="N1249" s="470"/>
    </row>
    <row r="1250" spans="14:14" x14ac:dyDescent="0.2">
      <c r="N1250" s="470"/>
    </row>
    <row r="1251" spans="14:14" x14ac:dyDescent="0.2">
      <c r="N1251" s="470"/>
    </row>
    <row r="1252" spans="14:14" x14ac:dyDescent="0.2">
      <c r="N1252" s="470"/>
    </row>
    <row r="1253" spans="14:14" x14ac:dyDescent="0.2">
      <c r="N1253" s="470"/>
    </row>
    <row r="1254" spans="14:14" x14ac:dyDescent="0.2">
      <c r="N1254" s="470"/>
    </row>
    <row r="1255" spans="14:14" x14ac:dyDescent="0.2">
      <c r="N1255" s="470"/>
    </row>
    <row r="1256" spans="14:14" x14ac:dyDescent="0.2">
      <c r="N1256" s="470"/>
    </row>
    <row r="1257" spans="14:14" x14ac:dyDescent="0.2">
      <c r="N1257" s="470"/>
    </row>
    <row r="1258" spans="14:14" x14ac:dyDescent="0.2">
      <c r="N1258" s="470"/>
    </row>
    <row r="1259" spans="14:14" x14ac:dyDescent="0.2">
      <c r="N1259" s="470"/>
    </row>
    <row r="1260" spans="14:14" x14ac:dyDescent="0.2">
      <c r="N1260" s="470"/>
    </row>
    <row r="1261" spans="14:14" x14ac:dyDescent="0.2">
      <c r="N1261" s="470"/>
    </row>
    <row r="1262" spans="14:14" x14ac:dyDescent="0.2">
      <c r="N1262" s="470"/>
    </row>
    <row r="1263" spans="14:14" x14ac:dyDescent="0.2">
      <c r="N1263" s="470"/>
    </row>
    <row r="1264" spans="14:14" x14ac:dyDescent="0.2">
      <c r="N1264" s="470"/>
    </row>
    <row r="1265" spans="14:14" x14ac:dyDescent="0.2">
      <c r="N1265" s="470"/>
    </row>
    <row r="1266" spans="14:14" x14ac:dyDescent="0.2">
      <c r="N1266" s="470"/>
    </row>
    <row r="1267" spans="14:14" x14ac:dyDescent="0.2">
      <c r="N1267" s="470"/>
    </row>
    <row r="1268" spans="14:14" x14ac:dyDescent="0.2">
      <c r="N1268" s="470"/>
    </row>
    <row r="1269" spans="14:14" x14ac:dyDescent="0.2">
      <c r="N1269" s="470"/>
    </row>
    <row r="1270" spans="14:14" x14ac:dyDescent="0.2">
      <c r="N1270" s="470"/>
    </row>
    <row r="1271" spans="14:14" x14ac:dyDescent="0.2">
      <c r="N1271" s="470"/>
    </row>
    <row r="1272" spans="14:14" x14ac:dyDescent="0.2">
      <c r="N1272" s="470"/>
    </row>
    <row r="1273" spans="14:14" x14ac:dyDescent="0.2">
      <c r="N1273" s="470"/>
    </row>
    <row r="1274" spans="14:14" x14ac:dyDescent="0.2">
      <c r="N1274" s="470"/>
    </row>
    <row r="1275" spans="14:14" x14ac:dyDescent="0.2">
      <c r="N1275" s="470"/>
    </row>
    <row r="1276" spans="14:14" x14ac:dyDescent="0.2">
      <c r="N1276" s="470"/>
    </row>
    <row r="1277" spans="14:14" x14ac:dyDescent="0.2">
      <c r="N1277" s="470"/>
    </row>
    <row r="1278" spans="14:14" x14ac:dyDescent="0.2">
      <c r="N1278" s="470"/>
    </row>
    <row r="1279" spans="14:14" x14ac:dyDescent="0.2">
      <c r="N1279" s="470"/>
    </row>
    <row r="1280" spans="14:14" x14ac:dyDescent="0.2">
      <c r="N1280" s="470"/>
    </row>
    <row r="1281" spans="14:14" x14ac:dyDescent="0.2">
      <c r="N1281" s="470"/>
    </row>
    <row r="1282" spans="14:14" x14ac:dyDescent="0.2">
      <c r="N1282" s="470"/>
    </row>
    <row r="1283" spans="14:14" x14ac:dyDescent="0.2">
      <c r="N1283" s="470"/>
    </row>
    <row r="1284" spans="14:14" x14ac:dyDescent="0.2">
      <c r="N1284" s="470"/>
    </row>
    <row r="1285" spans="14:14" x14ac:dyDescent="0.2">
      <c r="N1285" s="470"/>
    </row>
    <row r="1286" spans="14:14" x14ac:dyDescent="0.2">
      <c r="N1286" s="470"/>
    </row>
    <row r="1287" spans="14:14" x14ac:dyDescent="0.2">
      <c r="N1287" s="470"/>
    </row>
    <row r="1288" spans="14:14" x14ac:dyDescent="0.2">
      <c r="N1288" s="470"/>
    </row>
    <row r="1289" spans="14:14" x14ac:dyDescent="0.2">
      <c r="N1289" s="470"/>
    </row>
    <row r="1290" spans="14:14" x14ac:dyDescent="0.2">
      <c r="N1290" s="470"/>
    </row>
    <row r="1291" spans="14:14" x14ac:dyDescent="0.2">
      <c r="N1291" s="470"/>
    </row>
    <row r="1292" spans="14:14" x14ac:dyDescent="0.2">
      <c r="N1292" s="470"/>
    </row>
    <row r="1293" spans="14:14" x14ac:dyDescent="0.2">
      <c r="N1293" s="470"/>
    </row>
    <row r="1294" spans="14:14" x14ac:dyDescent="0.2">
      <c r="N1294" s="470"/>
    </row>
    <row r="1295" spans="14:14" x14ac:dyDescent="0.2">
      <c r="N1295" s="470"/>
    </row>
    <row r="1296" spans="14:14" x14ac:dyDescent="0.2">
      <c r="N1296" s="470"/>
    </row>
    <row r="1297" spans="14:14" x14ac:dyDescent="0.2">
      <c r="N1297" s="470"/>
    </row>
    <row r="1298" spans="14:14" x14ac:dyDescent="0.2">
      <c r="N1298" s="470"/>
    </row>
    <row r="1299" spans="14:14" x14ac:dyDescent="0.2">
      <c r="N1299" s="470"/>
    </row>
    <row r="1300" spans="14:14" x14ac:dyDescent="0.2">
      <c r="N1300" s="470"/>
    </row>
    <row r="1301" spans="14:14" x14ac:dyDescent="0.2">
      <c r="N1301" s="470"/>
    </row>
    <row r="1302" spans="14:14" x14ac:dyDescent="0.2">
      <c r="N1302" s="470"/>
    </row>
    <row r="1303" spans="14:14" x14ac:dyDescent="0.2">
      <c r="N1303" s="470"/>
    </row>
    <row r="1304" spans="14:14" x14ac:dyDescent="0.2">
      <c r="N1304" s="470"/>
    </row>
    <row r="1305" spans="14:14" x14ac:dyDescent="0.2">
      <c r="N1305" s="470"/>
    </row>
    <row r="1306" spans="14:14" x14ac:dyDescent="0.2">
      <c r="N1306" s="470"/>
    </row>
    <row r="1307" spans="14:14" x14ac:dyDescent="0.2">
      <c r="N1307" s="470"/>
    </row>
    <row r="1308" spans="14:14" x14ac:dyDescent="0.2">
      <c r="N1308" s="470"/>
    </row>
    <row r="1309" spans="14:14" x14ac:dyDescent="0.2">
      <c r="N1309" s="470"/>
    </row>
    <row r="1310" spans="14:14" x14ac:dyDescent="0.2">
      <c r="N1310" s="470"/>
    </row>
    <row r="1311" spans="14:14" x14ac:dyDescent="0.2">
      <c r="N1311" s="470"/>
    </row>
    <row r="1312" spans="14:14" x14ac:dyDescent="0.2">
      <c r="N1312" s="470"/>
    </row>
    <row r="1313" spans="14:14" x14ac:dyDescent="0.2">
      <c r="N1313" s="470"/>
    </row>
    <row r="1314" spans="14:14" x14ac:dyDescent="0.2">
      <c r="N1314" s="470"/>
    </row>
    <row r="1315" spans="14:14" x14ac:dyDescent="0.2">
      <c r="N1315" s="470"/>
    </row>
    <row r="1316" spans="14:14" x14ac:dyDescent="0.2">
      <c r="N1316" s="470"/>
    </row>
    <row r="1317" spans="14:14" x14ac:dyDescent="0.2">
      <c r="N1317" s="470"/>
    </row>
    <row r="1318" spans="14:14" x14ac:dyDescent="0.2">
      <c r="N1318" s="470"/>
    </row>
    <row r="1319" spans="14:14" x14ac:dyDescent="0.2">
      <c r="N1319" s="470"/>
    </row>
    <row r="1320" spans="14:14" x14ac:dyDescent="0.2">
      <c r="N1320" s="470"/>
    </row>
    <row r="1321" spans="14:14" x14ac:dyDescent="0.2">
      <c r="N1321" s="470"/>
    </row>
    <row r="1322" spans="14:14" x14ac:dyDescent="0.2">
      <c r="N1322" s="470"/>
    </row>
    <row r="1323" spans="14:14" x14ac:dyDescent="0.2">
      <c r="N1323" s="470"/>
    </row>
    <row r="1324" spans="14:14" x14ac:dyDescent="0.2">
      <c r="N1324" s="470"/>
    </row>
    <row r="1325" spans="14:14" x14ac:dyDescent="0.2">
      <c r="N1325" s="470"/>
    </row>
    <row r="1326" spans="14:14" x14ac:dyDescent="0.2">
      <c r="N1326" s="470"/>
    </row>
    <row r="1327" spans="14:14" x14ac:dyDescent="0.2">
      <c r="N1327" s="470"/>
    </row>
    <row r="1328" spans="14:14" x14ac:dyDescent="0.2">
      <c r="N1328" s="470"/>
    </row>
    <row r="1329" spans="14:14" x14ac:dyDescent="0.2">
      <c r="N1329" s="470"/>
    </row>
    <row r="1330" spans="14:14" x14ac:dyDescent="0.2">
      <c r="N1330" s="470"/>
    </row>
    <row r="1331" spans="14:14" x14ac:dyDescent="0.2">
      <c r="N1331" s="470"/>
    </row>
    <row r="1332" spans="14:14" x14ac:dyDescent="0.2">
      <c r="N1332" s="470"/>
    </row>
    <row r="1333" spans="14:14" x14ac:dyDescent="0.2">
      <c r="N1333" s="470"/>
    </row>
    <row r="1334" spans="14:14" x14ac:dyDescent="0.2">
      <c r="N1334" s="470"/>
    </row>
    <row r="1335" spans="14:14" x14ac:dyDescent="0.2">
      <c r="N1335" s="470"/>
    </row>
    <row r="1336" spans="14:14" x14ac:dyDescent="0.2">
      <c r="N1336" s="470"/>
    </row>
    <row r="1337" spans="14:14" x14ac:dyDescent="0.2">
      <c r="N1337" s="470"/>
    </row>
    <row r="1338" spans="14:14" x14ac:dyDescent="0.2">
      <c r="N1338" s="470"/>
    </row>
    <row r="1339" spans="14:14" x14ac:dyDescent="0.2">
      <c r="N1339" s="470"/>
    </row>
    <row r="1340" spans="14:14" x14ac:dyDescent="0.2">
      <c r="N1340" s="470"/>
    </row>
    <row r="1341" spans="14:14" x14ac:dyDescent="0.2">
      <c r="N1341" s="470"/>
    </row>
    <row r="1342" spans="14:14" x14ac:dyDescent="0.2">
      <c r="N1342" s="470"/>
    </row>
    <row r="1343" spans="14:14" x14ac:dyDescent="0.2">
      <c r="N1343" s="470"/>
    </row>
    <row r="1344" spans="14:14" x14ac:dyDescent="0.2">
      <c r="N1344" s="470"/>
    </row>
    <row r="1345" spans="14:14" x14ac:dyDescent="0.2">
      <c r="N1345" s="470"/>
    </row>
    <row r="1346" spans="14:14" x14ac:dyDescent="0.2">
      <c r="N1346" s="470"/>
    </row>
    <row r="1347" spans="14:14" x14ac:dyDescent="0.2">
      <c r="N1347" s="470"/>
    </row>
    <row r="1348" spans="14:14" x14ac:dyDescent="0.2">
      <c r="N1348" s="470"/>
    </row>
    <row r="1349" spans="14:14" x14ac:dyDescent="0.2">
      <c r="N1349" s="470"/>
    </row>
    <row r="1350" spans="14:14" x14ac:dyDescent="0.2">
      <c r="N1350" s="470"/>
    </row>
    <row r="1351" spans="14:14" x14ac:dyDescent="0.2">
      <c r="N1351" s="470"/>
    </row>
    <row r="1352" spans="14:14" x14ac:dyDescent="0.2">
      <c r="N1352" s="470"/>
    </row>
    <row r="1353" spans="14:14" x14ac:dyDescent="0.2">
      <c r="N1353" s="470"/>
    </row>
    <row r="1354" spans="14:14" x14ac:dyDescent="0.2">
      <c r="N1354" s="470"/>
    </row>
    <row r="1355" spans="14:14" x14ac:dyDescent="0.2">
      <c r="N1355" s="470"/>
    </row>
    <row r="1356" spans="14:14" x14ac:dyDescent="0.2">
      <c r="N1356" s="470"/>
    </row>
    <row r="1357" spans="14:14" x14ac:dyDescent="0.2">
      <c r="N1357" s="470"/>
    </row>
    <row r="1358" spans="14:14" x14ac:dyDescent="0.2">
      <c r="N1358" s="470"/>
    </row>
    <row r="1359" spans="14:14" x14ac:dyDescent="0.2">
      <c r="N1359" s="470"/>
    </row>
    <row r="1360" spans="14:14" x14ac:dyDescent="0.2">
      <c r="N1360" s="470"/>
    </row>
    <row r="1361" spans="14:14" x14ac:dyDescent="0.2">
      <c r="N1361" s="470"/>
    </row>
    <row r="1362" spans="14:14" x14ac:dyDescent="0.2">
      <c r="N1362" s="470"/>
    </row>
    <row r="1363" spans="14:14" x14ac:dyDescent="0.2">
      <c r="N1363" s="470"/>
    </row>
    <row r="1364" spans="14:14" x14ac:dyDescent="0.2">
      <c r="N1364" s="470"/>
    </row>
    <row r="1365" spans="14:14" x14ac:dyDescent="0.2">
      <c r="N1365" s="470"/>
    </row>
    <row r="1366" spans="14:14" x14ac:dyDescent="0.2">
      <c r="N1366" s="470"/>
    </row>
    <row r="1367" spans="14:14" x14ac:dyDescent="0.2">
      <c r="N1367" s="470"/>
    </row>
    <row r="1368" spans="14:14" x14ac:dyDescent="0.2">
      <c r="N1368" s="470"/>
    </row>
    <row r="1369" spans="14:14" x14ac:dyDescent="0.2">
      <c r="N1369" s="470"/>
    </row>
    <row r="1370" spans="14:14" x14ac:dyDescent="0.2">
      <c r="N1370" s="470"/>
    </row>
    <row r="1371" spans="14:14" x14ac:dyDescent="0.2">
      <c r="N1371" s="470"/>
    </row>
    <row r="1372" spans="14:14" x14ac:dyDescent="0.2">
      <c r="N1372" s="470"/>
    </row>
    <row r="1373" spans="14:14" x14ac:dyDescent="0.2">
      <c r="N1373" s="470"/>
    </row>
    <row r="1374" spans="14:14" x14ac:dyDescent="0.2">
      <c r="N1374" s="470"/>
    </row>
    <row r="1375" spans="14:14" x14ac:dyDescent="0.2">
      <c r="N1375" s="470"/>
    </row>
    <row r="1376" spans="14:14" x14ac:dyDescent="0.2">
      <c r="N1376" s="470"/>
    </row>
    <row r="1377" spans="14:14" x14ac:dyDescent="0.2">
      <c r="N1377" s="470"/>
    </row>
    <row r="1378" spans="14:14" x14ac:dyDescent="0.2">
      <c r="N1378" s="470"/>
    </row>
    <row r="1379" spans="14:14" x14ac:dyDescent="0.2">
      <c r="N1379" s="470"/>
    </row>
    <row r="1380" spans="14:14" x14ac:dyDescent="0.2">
      <c r="N1380" s="470"/>
    </row>
    <row r="1381" spans="14:14" x14ac:dyDescent="0.2">
      <c r="N1381" s="470"/>
    </row>
    <row r="1382" spans="14:14" x14ac:dyDescent="0.2">
      <c r="N1382" s="470"/>
    </row>
    <row r="1383" spans="14:14" x14ac:dyDescent="0.2">
      <c r="N1383" s="470"/>
    </row>
    <row r="1384" spans="14:14" x14ac:dyDescent="0.2">
      <c r="N1384" s="470"/>
    </row>
    <row r="1385" spans="14:14" x14ac:dyDescent="0.2">
      <c r="N1385" s="470"/>
    </row>
    <row r="1386" spans="14:14" x14ac:dyDescent="0.2">
      <c r="N1386" s="470"/>
    </row>
    <row r="1387" spans="14:14" x14ac:dyDescent="0.2">
      <c r="N1387" s="470"/>
    </row>
    <row r="1388" spans="14:14" x14ac:dyDescent="0.2">
      <c r="N1388" s="470"/>
    </row>
    <row r="1389" spans="14:14" x14ac:dyDescent="0.2">
      <c r="N1389" s="470"/>
    </row>
    <row r="1390" spans="14:14" x14ac:dyDescent="0.2">
      <c r="N1390" s="470"/>
    </row>
    <row r="1391" spans="14:14" x14ac:dyDescent="0.2">
      <c r="N1391" s="470"/>
    </row>
    <row r="1392" spans="14:14" x14ac:dyDescent="0.2">
      <c r="N1392" s="470"/>
    </row>
    <row r="1393" spans="14:14" x14ac:dyDescent="0.2">
      <c r="N1393" s="470"/>
    </row>
    <row r="1394" spans="14:14" x14ac:dyDescent="0.2">
      <c r="N1394" s="470"/>
    </row>
    <row r="1395" spans="14:14" x14ac:dyDescent="0.2">
      <c r="N1395" s="470"/>
    </row>
    <row r="1396" spans="14:14" x14ac:dyDescent="0.2">
      <c r="N1396" s="470"/>
    </row>
    <row r="1397" spans="14:14" x14ac:dyDescent="0.2">
      <c r="N1397" s="470"/>
    </row>
    <row r="1398" spans="14:14" x14ac:dyDescent="0.2">
      <c r="N1398" s="470"/>
    </row>
    <row r="1399" spans="14:14" x14ac:dyDescent="0.2">
      <c r="N1399" s="470"/>
    </row>
    <row r="1400" spans="14:14" x14ac:dyDescent="0.2">
      <c r="N1400" s="470"/>
    </row>
    <row r="1401" spans="14:14" x14ac:dyDescent="0.2">
      <c r="N1401" s="470"/>
    </row>
    <row r="1402" spans="14:14" x14ac:dyDescent="0.2">
      <c r="N1402" s="470"/>
    </row>
    <row r="1403" spans="14:14" x14ac:dyDescent="0.2">
      <c r="N1403" s="470"/>
    </row>
    <row r="1404" spans="14:14" x14ac:dyDescent="0.2">
      <c r="N1404" s="470"/>
    </row>
    <row r="1405" spans="14:14" x14ac:dyDescent="0.2">
      <c r="N1405" s="470"/>
    </row>
    <row r="1406" spans="14:14" x14ac:dyDescent="0.2">
      <c r="N1406" s="470"/>
    </row>
    <row r="1407" spans="14:14" x14ac:dyDescent="0.2">
      <c r="N1407" s="470"/>
    </row>
    <row r="1408" spans="14:14" x14ac:dyDescent="0.2">
      <c r="N1408" s="470"/>
    </row>
    <row r="1409" spans="14:14" x14ac:dyDescent="0.2">
      <c r="N1409" s="470"/>
    </row>
    <row r="1410" spans="14:14" x14ac:dyDescent="0.2">
      <c r="N1410" s="470"/>
    </row>
    <row r="1411" spans="14:14" x14ac:dyDescent="0.2">
      <c r="N1411" s="470"/>
    </row>
    <row r="1412" spans="14:14" x14ac:dyDescent="0.2">
      <c r="N1412" s="470"/>
    </row>
    <row r="1413" spans="14:14" x14ac:dyDescent="0.2">
      <c r="N1413" s="470"/>
    </row>
    <row r="1414" spans="14:14" x14ac:dyDescent="0.2">
      <c r="N1414" s="470"/>
    </row>
    <row r="1415" spans="14:14" x14ac:dyDescent="0.2">
      <c r="N1415" s="470"/>
    </row>
    <row r="1416" spans="14:14" x14ac:dyDescent="0.2">
      <c r="N1416" s="470"/>
    </row>
    <row r="1417" spans="14:14" x14ac:dyDescent="0.2">
      <c r="N1417" s="470"/>
    </row>
    <row r="1418" spans="14:14" x14ac:dyDescent="0.2">
      <c r="N1418" s="470"/>
    </row>
    <row r="1419" spans="14:14" x14ac:dyDescent="0.2">
      <c r="N1419" s="470"/>
    </row>
    <row r="1420" spans="14:14" x14ac:dyDescent="0.2">
      <c r="N1420" s="470"/>
    </row>
    <row r="1421" spans="14:14" x14ac:dyDescent="0.2">
      <c r="N1421" s="470"/>
    </row>
    <row r="1422" spans="14:14" x14ac:dyDescent="0.2">
      <c r="N1422" s="470"/>
    </row>
    <row r="1423" spans="14:14" x14ac:dyDescent="0.2">
      <c r="N1423" s="470"/>
    </row>
    <row r="1424" spans="14:14" x14ac:dyDescent="0.2">
      <c r="N1424" s="470"/>
    </row>
    <row r="1425" spans="14:14" x14ac:dyDescent="0.2">
      <c r="N1425" s="470"/>
    </row>
    <row r="1426" spans="14:14" x14ac:dyDescent="0.2">
      <c r="N1426" s="470"/>
    </row>
    <row r="1427" spans="14:14" x14ac:dyDescent="0.2">
      <c r="N1427" s="470"/>
    </row>
    <row r="1428" spans="14:14" x14ac:dyDescent="0.2">
      <c r="N1428" s="470"/>
    </row>
    <row r="1429" spans="14:14" x14ac:dyDescent="0.2">
      <c r="N1429" s="470"/>
    </row>
    <row r="1430" spans="14:14" x14ac:dyDescent="0.2">
      <c r="N1430" s="470"/>
    </row>
    <row r="1431" spans="14:14" x14ac:dyDescent="0.2">
      <c r="N1431" s="470"/>
    </row>
    <row r="1432" spans="14:14" x14ac:dyDescent="0.2">
      <c r="N1432" s="470"/>
    </row>
    <row r="1433" spans="14:14" x14ac:dyDescent="0.2">
      <c r="N1433" s="470"/>
    </row>
    <row r="1434" spans="14:14" x14ac:dyDescent="0.2">
      <c r="N1434" s="470"/>
    </row>
    <row r="1435" spans="14:14" x14ac:dyDescent="0.2">
      <c r="N1435" s="470"/>
    </row>
    <row r="1436" spans="14:14" x14ac:dyDescent="0.2">
      <c r="N1436" s="470"/>
    </row>
    <row r="1437" spans="14:14" x14ac:dyDescent="0.2">
      <c r="N1437" s="470"/>
    </row>
    <row r="1438" spans="14:14" x14ac:dyDescent="0.2">
      <c r="N1438" s="470"/>
    </row>
    <row r="1439" spans="14:14" x14ac:dyDescent="0.2">
      <c r="N1439" s="470"/>
    </row>
    <row r="1440" spans="14:14" x14ac:dyDescent="0.2">
      <c r="N1440" s="470"/>
    </row>
    <row r="1441" spans="14:14" x14ac:dyDescent="0.2">
      <c r="N1441" s="470"/>
    </row>
    <row r="1442" spans="14:14" x14ac:dyDescent="0.2">
      <c r="N1442" s="470"/>
    </row>
    <row r="1443" spans="14:14" x14ac:dyDescent="0.2">
      <c r="N1443" s="470"/>
    </row>
    <row r="1444" spans="14:14" x14ac:dyDescent="0.2">
      <c r="N1444" s="470"/>
    </row>
    <row r="1445" spans="14:14" x14ac:dyDescent="0.2">
      <c r="N1445" s="470"/>
    </row>
    <row r="1446" spans="14:14" x14ac:dyDescent="0.2">
      <c r="N1446" s="470"/>
    </row>
    <row r="1447" spans="14:14" x14ac:dyDescent="0.2">
      <c r="N1447" s="470"/>
    </row>
    <row r="1448" spans="14:14" x14ac:dyDescent="0.2">
      <c r="N1448" s="470"/>
    </row>
    <row r="1449" spans="14:14" x14ac:dyDescent="0.2">
      <c r="N1449" s="470"/>
    </row>
    <row r="1450" spans="14:14" x14ac:dyDescent="0.2">
      <c r="N1450" s="470"/>
    </row>
    <row r="1451" spans="14:14" x14ac:dyDescent="0.2">
      <c r="N1451" s="470"/>
    </row>
    <row r="1452" spans="14:14" x14ac:dyDescent="0.2">
      <c r="N1452" s="470"/>
    </row>
    <row r="1453" spans="14:14" x14ac:dyDescent="0.2">
      <c r="N1453" s="470"/>
    </row>
    <row r="1454" spans="14:14" x14ac:dyDescent="0.2">
      <c r="N1454" s="470"/>
    </row>
    <row r="1455" spans="14:14" x14ac:dyDescent="0.2">
      <c r="N1455" s="470"/>
    </row>
    <row r="1456" spans="14:14" x14ac:dyDescent="0.2">
      <c r="N1456" s="470"/>
    </row>
    <row r="1457" spans="14:14" x14ac:dyDescent="0.2">
      <c r="N1457" s="470"/>
    </row>
    <row r="1458" spans="14:14" x14ac:dyDescent="0.2">
      <c r="N1458" s="470"/>
    </row>
    <row r="1459" spans="14:14" x14ac:dyDescent="0.2">
      <c r="N1459" s="470"/>
    </row>
    <row r="1460" spans="14:14" x14ac:dyDescent="0.2">
      <c r="N1460" s="470"/>
    </row>
    <row r="1461" spans="14:14" x14ac:dyDescent="0.2">
      <c r="N1461" s="470"/>
    </row>
    <row r="1462" spans="14:14" x14ac:dyDescent="0.2">
      <c r="N1462" s="470"/>
    </row>
    <row r="1463" spans="14:14" x14ac:dyDescent="0.2">
      <c r="N1463" s="470"/>
    </row>
    <row r="1464" spans="14:14" x14ac:dyDescent="0.2">
      <c r="N1464" s="470"/>
    </row>
    <row r="1465" spans="14:14" x14ac:dyDescent="0.2">
      <c r="N1465" s="470"/>
    </row>
    <row r="1466" spans="14:14" x14ac:dyDescent="0.2">
      <c r="N1466" s="470"/>
    </row>
    <row r="1467" spans="14:14" x14ac:dyDescent="0.2">
      <c r="N1467" s="470"/>
    </row>
    <row r="1468" spans="14:14" x14ac:dyDescent="0.2">
      <c r="N1468" s="470"/>
    </row>
    <row r="1469" spans="14:14" x14ac:dyDescent="0.2">
      <c r="N1469" s="470"/>
    </row>
    <row r="1470" spans="14:14" x14ac:dyDescent="0.2">
      <c r="N1470" s="470"/>
    </row>
    <row r="1471" spans="14:14" x14ac:dyDescent="0.2">
      <c r="N1471" s="470"/>
    </row>
    <row r="1472" spans="14:14" x14ac:dyDescent="0.2">
      <c r="N1472" s="470"/>
    </row>
    <row r="1473" spans="14:14" x14ac:dyDescent="0.2">
      <c r="N1473" s="470"/>
    </row>
    <row r="1474" spans="14:14" x14ac:dyDescent="0.2">
      <c r="N1474" s="470"/>
    </row>
    <row r="1475" spans="14:14" x14ac:dyDescent="0.2">
      <c r="N1475" s="470"/>
    </row>
    <row r="1476" spans="14:14" x14ac:dyDescent="0.2">
      <c r="N1476" s="470"/>
    </row>
    <row r="1477" spans="14:14" x14ac:dyDescent="0.2">
      <c r="N1477" s="470"/>
    </row>
    <row r="1478" spans="14:14" x14ac:dyDescent="0.2">
      <c r="N1478" s="470"/>
    </row>
    <row r="1479" spans="14:14" x14ac:dyDescent="0.2">
      <c r="N1479" s="470"/>
    </row>
    <row r="1480" spans="14:14" x14ac:dyDescent="0.2">
      <c r="N1480" s="470"/>
    </row>
    <row r="1481" spans="14:14" x14ac:dyDescent="0.2">
      <c r="N1481" s="470"/>
    </row>
    <row r="1482" spans="14:14" x14ac:dyDescent="0.2">
      <c r="N1482" s="470"/>
    </row>
    <row r="1483" spans="14:14" x14ac:dyDescent="0.2">
      <c r="N1483" s="470"/>
    </row>
    <row r="1484" spans="14:14" x14ac:dyDescent="0.2">
      <c r="N1484" s="470"/>
    </row>
    <row r="1485" spans="14:14" x14ac:dyDescent="0.2">
      <c r="N1485" s="470"/>
    </row>
    <row r="1486" spans="14:14" x14ac:dyDescent="0.2">
      <c r="N1486" s="470"/>
    </row>
    <row r="1487" spans="14:14" x14ac:dyDescent="0.2">
      <c r="N1487" s="470"/>
    </row>
    <row r="1488" spans="14:14" x14ac:dyDescent="0.2">
      <c r="N1488" s="470"/>
    </row>
    <row r="1489" spans="14:14" x14ac:dyDescent="0.2">
      <c r="N1489" s="470"/>
    </row>
    <row r="1490" spans="14:14" x14ac:dyDescent="0.2">
      <c r="N1490" s="470"/>
    </row>
    <row r="1491" spans="14:14" x14ac:dyDescent="0.2">
      <c r="N1491" s="470"/>
    </row>
    <row r="1492" spans="14:14" x14ac:dyDescent="0.2">
      <c r="N1492" s="470"/>
    </row>
    <row r="1493" spans="14:14" x14ac:dyDescent="0.2">
      <c r="N1493" s="470"/>
    </row>
    <row r="1494" spans="14:14" x14ac:dyDescent="0.2">
      <c r="N1494" s="470"/>
    </row>
    <row r="1495" spans="14:14" x14ac:dyDescent="0.2">
      <c r="N1495" s="470"/>
    </row>
    <row r="1496" spans="14:14" x14ac:dyDescent="0.2">
      <c r="N1496" s="470"/>
    </row>
    <row r="1497" spans="14:14" x14ac:dyDescent="0.2">
      <c r="N1497" s="470"/>
    </row>
    <row r="1498" spans="14:14" x14ac:dyDescent="0.2">
      <c r="N1498" s="470"/>
    </row>
    <row r="1499" spans="14:14" x14ac:dyDescent="0.2">
      <c r="N1499" s="470"/>
    </row>
    <row r="1500" spans="14:14" x14ac:dyDescent="0.2">
      <c r="N1500" s="470"/>
    </row>
    <row r="1501" spans="14:14" x14ac:dyDescent="0.2">
      <c r="N1501" s="470"/>
    </row>
    <row r="1502" spans="14:14" x14ac:dyDescent="0.2">
      <c r="N1502" s="470"/>
    </row>
    <row r="1503" spans="14:14" x14ac:dyDescent="0.2">
      <c r="N1503" s="470"/>
    </row>
    <row r="1504" spans="14:14" x14ac:dyDescent="0.2">
      <c r="N1504" s="470"/>
    </row>
    <row r="1505" spans="14:14" x14ac:dyDescent="0.2">
      <c r="N1505" s="470"/>
    </row>
    <row r="1506" spans="14:14" x14ac:dyDescent="0.2">
      <c r="N1506" s="470"/>
    </row>
    <row r="1507" spans="14:14" x14ac:dyDescent="0.2">
      <c r="N1507" s="470"/>
    </row>
    <row r="1508" spans="14:14" x14ac:dyDescent="0.2">
      <c r="N1508" s="470"/>
    </row>
    <row r="1509" spans="14:14" x14ac:dyDescent="0.2">
      <c r="N1509" s="470"/>
    </row>
    <row r="1510" spans="14:14" x14ac:dyDescent="0.2">
      <c r="N1510" s="470"/>
    </row>
    <row r="1511" spans="14:14" x14ac:dyDescent="0.2">
      <c r="N1511" s="470"/>
    </row>
    <row r="1512" spans="14:14" x14ac:dyDescent="0.2">
      <c r="N1512" s="470"/>
    </row>
    <row r="1513" spans="14:14" x14ac:dyDescent="0.2">
      <c r="N1513" s="470"/>
    </row>
    <row r="1514" spans="14:14" x14ac:dyDescent="0.2">
      <c r="N1514" s="470"/>
    </row>
    <row r="1515" spans="14:14" x14ac:dyDescent="0.2">
      <c r="N1515" s="470"/>
    </row>
    <row r="1516" spans="14:14" x14ac:dyDescent="0.2">
      <c r="N1516" s="470"/>
    </row>
    <row r="1517" spans="14:14" x14ac:dyDescent="0.2">
      <c r="N1517" s="470"/>
    </row>
    <row r="1518" spans="14:14" x14ac:dyDescent="0.2">
      <c r="N1518" s="470"/>
    </row>
    <row r="1519" spans="14:14" x14ac:dyDescent="0.2">
      <c r="N1519" s="470"/>
    </row>
    <row r="1520" spans="14:14" x14ac:dyDescent="0.2">
      <c r="N1520" s="470"/>
    </row>
    <row r="1521" spans="14:14" x14ac:dyDescent="0.2">
      <c r="N1521" s="470"/>
    </row>
    <row r="1522" spans="14:14" x14ac:dyDescent="0.2">
      <c r="N1522" s="470"/>
    </row>
    <row r="1523" spans="14:14" x14ac:dyDescent="0.2">
      <c r="N1523" s="470"/>
    </row>
    <row r="1524" spans="14:14" x14ac:dyDescent="0.2">
      <c r="N1524" s="470"/>
    </row>
    <row r="1525" spans="14:14" x14ac:dyDescent="0.2">
      <c r="N1525" s="470"/>
    </row>
    <row r="1526" spans="14:14" x14ac:dyDescent="0.2">
      <c r="N1526" s="470"/>
    </row>
    <row r="1527" spans="14:14" x14ac:dyDescent="0.2">
      <c r="N1527" s="470"/>
    </row>
    <row r="1528" spans="14:14" x14ac:dyDescent="0.2">
      <c r="N1528" s="470"/>
    </row>
    <row r="1529" spans="14:14" x14ac:dyDescent="0.2">
      <c r="N1529" s="470"/>
    </row>
    <row r="1530" spans="14:14" x14ac:dyDescent="0.2">
      <c r="N1530" s="470"/>
    </row>
    <row r="1531" spans="14:14" x14ac:dyDescent="0.2">
      <c r="N1531" s="470"/>
    </row>
    <row r="1532" spans="14:14" x14ac:dyDescent="0.2">
      <c r="N1532" s="470"/>
    </row>
    <row r="1533" spans="14:14" x14ac:dyDescent="0.2">
      <c r="N1533" s="470"/>
    </row>
    <row r="1534" spans="14:14" x14ac:dyDescent="0.2">
      <c r="N1534" s="470"/>
    </row>
    <row r="1535" spans="14:14" x14ac:dyDescent="0.2">
      <c r="N1535" s="470"/>
    </row>
    <row r="1536" spans="14:14" x14ac:dyDescent="0.2">
      <c r="N1536" s="470"/>
    </row>
    <row r="1537" spans="14:14" x14ac:dyDescent="0.2">
      <c r="N1537" s="470"/>
    </row>
    <row r="1538" spans="14:14" x14ac:dyDescent="0.2">
      <c r="N1538" s="470"/>
    </row>
    <row r="1539" spans="14:14" x14ac:dyDescent="0.2">
      <c r="N1539" s="470"/>
    </row>
    <row r="1540" spans="14:14" x14ac:dyDescent="0.2">
      <c r="N1540" s="470"/>
    </row>
    <row r="1541" spans="14:14" x14ac:dyDescent="0.2">
      <c r="N1541" s="470"/>
    </row>
    <row r="1542" spans="14:14" x14ac:dyDescent="0.2">
      <c r="N1542" s="470"/>
    </row>
    <row r="1543" spans="14:14" x14ac:dyDescent="0.2">
      <c r="N1543" s="470"/>
    </row>
    <row r="1544" spans="14:14" x14ac:dyDescent="0.2">
      <c r="N1544" s="470"/>
    </row>
    <row r="1545" spans="14:14" x14ac:dyDescent="0.2">
      <c r="N1545" s="470"/>
    </row>
    <row r="1546" spans="14:14" x14ac:dyDescent="0.2">
      <c r="N1546" s="470"/>
    </row>
    <row r="1547" spans="14:14" x14ac:dyDescent="0.2">
      <c r="N1547" s="470"/>
    </row>
    <row r="1548" spans="14:14" x14ac:dyDescent="0.2">
      <c r="N1548" s="470"/>
    </row>
    <row r="1549" spans="14:14" x14ac:dyDescent="0.2">
      <c r="N1549" s="470"/>
    </row>
    <row r="1550" spans="14:14" x14ac:dyDescent="0.2">
      <c r="N1550" s="470"/>
    </row>
    <row r="1551" spans="14:14" x14ac:dyDescent="0.2">
      <c r="N1551" s="470"/>
    </row>
    <row r="1552" spans="14:14" x14ac:dyDescent="0.2">
      <c r="N1552" s="470"/>
    </row>
    <row r="1553" spans="14:14" x14ac:dyDescent="0.2">
      <c r="N1553" s="470"/>
    </row>
    <row r="1554" spans="14:14" x14ac:dyDescent="0.2">
      <c r="N1554" s="470"/>
    </row>
    <row r="1555" spans="14:14" x14ac:dyDescent="0.2">
      <c r="N1555" s="470"/>
    </row>
    <row r="1556" spans="14:14" x14ac:dyDescent="0.2">
      <c r="N1556" s="470"/>
    </row>
    <row r="1557" spans="14:14" x14ac:dyDescent="0.2">
      <c r="N1557" s="470"/>
    </row>
    <row r="1558" spans="14:14" x14ac:dyDescent="0.2">
      <c r="N1558" s="470"/>
    </row>
    <row r="1559" spans="14:14" x14ac:dyDescent="0.2">
      <c r="N1559" s="470"/>
    </row>
    <row r="1560" spans="14:14" x14ac:dyDescent="0.2">
      <c r="N1560" s="470"/>
    </row>
    <row r="1561" spans="14:14" x14ac:dyDescent="0.2">
      <c r="N1561" s="470"/>
    </row>
    <row r="1562" spans="14:14" x14ac:dyDescent="0.2">
      <c r="N1562" s="470"/>
    </row>
    <row r="1563" spans="14:14" x14ac:dyDescent="0.2">
      <c r="N1563" s="470"/>
    </row>
    <row r="1564" spans="14:14" x14ac:dyDescent="0.2">
      <c r="N1564" s="470"/>
    </row>
    <row r="1565" spans="14:14" x14ac:dyDescent="0.2">
      <c r="N1565" s="470"/>
    </row>
    <row r="1566" spans="14:14" x14ac:dyDescent="0.2">
      <c r="N1566" s="470"/>
    </row>
    <row r="1567" spans="14:14" x14ac:dyDescent="0.2">
      <c r="N1567" s="470"/>
    </row>
    <row r="1568" spans="14:14" x14ac:dyDescent="0.2">
      <c r="N1568" s="470"/>
    </row>
    <row r="1569" spans="14:14" x14ac:dyDescent="0.2">
      <c r="N1569" s="470"/>
    </row>
    <row r="1570" spans="14:14" x14ac:dyDescent="0.2">
      <c r="N1570" s="470"/>
    </row>
    <row r="1571" spans="14:14" x14ac:dyDescent="0.2">
      <c r="N1571" s="470"/>
    </row>
    <row r="1572" spans="14:14" x14ac:dyDescent="0.2">
      <c r="N1572" s="470"/>
    </row>
    <row r="1573" spans="14:14" x14ac:dyDescent="0.2">
      <c r="N1573" s="470"/>
    </row>
    <row r="1574" spans="14:14" x14ac:dyDescent="0.2">
      <c r="N1574" s="470"/>
    </row>
    <row r="1575" spans="14:14" x14ac:dyDescent="0.2">
      <c r="N1575" s="470"/>
    </row>
    <row r="1576" spans="14:14" x14ac:dyDescent="0.2">
      <c r="N1576" s="470"/>
    </row>
    <row r="1577" spans="14:14" x14ac:dyDescent="0.2">
      <c r="N1577" s="470"/>
    </row>
    <row r="1578" spans="14:14" x14ac:dyDescent="0.2">
      <c r="N1578" s="470"/>
    </row>
    <row r="1579" spans="14:14" x14ac:dyDescent="0.2">
      <c r="N1579" s="470"/>
    </row>
    <row r="1580" spans="14:14" x14ac:dyDescent="0.2">
      <c r="N1580" s="470"/>
    </row>
    <row r="1581" spans="14:14" x14ac:dyDescent="0.2">
      <c r="N1581" s="470"/>
    </row>
    <row r="1582" spans="14:14" x14ac:dyDescent="0.2">
      <c r="N1582" s="470"/>
    </row>
    <row r="1583" spans="14:14" x14ac:dyDescent="0.2">
      <c r="N1583" s="470"/>
    </row>
    <row r="1584" spans="14:14" x14ac:dyDescent="0.2">
      <c r="N1584" s="470"/>
    </row>
    <row r="1585" spans="14:14" x14ac:dyDescent="0.2">
      <c r="N1585" s="470"/>
    </row>
    <row r="1586" spans="14:14" x14ac:dyDescent="0.2">
      <c r="N1586" s="470"/>
    </row>
    <row r="1587" spans="14:14" x14ac:dyDescent="0.2">
      <c r="N1587" s="470"/>
    </row>
    <row r="1588" spans="14:14" x14ac:dyDescent="0.2">
      <c r="N1588" s="470"/>
    </row>
    <row r="1589" spans="14:14" x14ac:dyDescent="0.2">
      <c r="N1589" s="470"/>
    </row>
    <row r="1590" spans="14:14" x14ac:dyDescent="0.2">
      <c r="N1590" s="470"/>
    </row>
    <row r="1591" spans="14:14" x14ac:dyDescent="0.2">
      <c r="N1591" s="470"/>
    </row>
    <row r="1592" spans="14:14" x14ac:dyDescent="0.2">
      <c r="N1592" s="470"/>
    </row>
    <row r="1593" spans="14:14" x14ac:dyDescent="0.2">
      <c r="N1593" s="470"/>
    </row>
    <row r="1594" spans="14:14" x14ac:dyDescent="0.2">
      <c r="N1594" s="470"/>
    </row>
    <row r="1595" spans="14:14" x14ac:dyDescent="0.2">
      <c r="N1595" s="470"/>
    </row>
    <row r="1596" spans="14:14" x14ac:dyDescent="0.2">
      <c r="N1596" s="470"/>
    </row>
    <row r="1597" spans="14:14" x14ac:dyDescent="0.2">
      <c r="N1597" s="470"/>
    </row>
    <row r="1598" spans="14:14" x14ac:dyDescent="0.2">
      <c r="N1598" s="470"/>
    </row>
    <row r="1599" spans="14:14" x14ac:dyDescent="0.2">
      <c r="N1599" s="470"/>
    </row>
    <row r="1600" spans="14:14" x14ac:dyDescent="0.2">
      <c r="N1600" s="470"/>
    </row>
    <row r="1601" spans="14:14" x14ac:dyDescent="0.2">
      <c r="N1601" s="470"/>
    </row>
    <row r="1602" spans="14:14" x14ac:dyDescent="0.2">
      <c r="N1602" s="470"/>
    </row>
    <row r="1603" spans="14:14" x14ac:dyDescent="0.2">
      <c r="N1603" s="470"/>
    </row>
    <row r="1604" spans="14:14" x14ac:dyDescent="0.2">
      <c r="N1604" s="470"/>
    </row>
    <row r="1605" spans="14:14" x14ac:dyDescent="0.2">
      <c r="N1605" s="470"/>
    </row>
    <row r="1606" spans="14:14" x14ac:dyDescent="0.2">
      <c r="N1606" s="470"/>
    </row>
    <row r="1607" spans="14:14" x14ac:dyDescent="0.2">
      <c r="N1607" s="470"/>
    </row>
    <row r="1608" spans="14:14" x14ac:dyDescent="0.2">
      <c r="N1608" s="470"/>
    </row>
    <row r="1609" spans="14:14" x14ac:dyDescent="0.2">
      <c r="N1609" s="470"/>
    </row>
    <row r="1610" spans="14:14" x14ac:dyDescent="0.2">
      <c r="N1610" s="470"/>
    </row>
    <row r="1611" spans="14:14" x14ac:dyDescent="0.2">
      <c r="N1611" s="470"/>
    </row>
    <row r="1612" spans="14:14" x14ac:dyDescent="0.2">
      <c r="N1612" s="470"/>
    </row>
    <row r="1613" spans="14:14" x14ac:dyDescent="0.2">
      <c r="N1613" s="470"/>
    </row>
    <row r="1614" spans="14:14" x14ac:dyDescent="0.2">
      <c r="N1614" s="470"/>
    </row>
    <row r="1615" spans="14:14" x14ac:dyDescent="0.2">
      <c r="N1615" s="470"/>
    </row>
    <row r="1616" spans="14:14" x14ac:dyDescent="0.2">
      <c r="N1616" s="470"/>
    </row>
    <row r="1617" spans="14:14" x14ac:dyDescent="0.2">
      <c r="N1617" s="470"/>
    </row>
    <row r="1618" spans="14:14" x14ac:dyDescent="0.2">
      <c r="N1618" s="470"/>
    </row>
    <row r="1619" spans="14:14" x14ac:dyDescent="0.2">
      <c r="N1619" s="470"/>
    </row>
    <row r="1620" spans="14:14" x14ac:dyDescent="0.2">
      <c r="N1620" s="470"/>
    </row>
    <row r="1621" spans="14:14" x14ac:dyDescent="0.2">
      <c r="N1621" s="470"/>
    </row>
    <row r="1622" spans="14:14" x14ac:dyDescent="0.2">
      <c r="N1622" s="470"/>
    </row>
    <row r="1623" spans="14:14" x14ac:dyDescent="0.2">
      <c r="N1623" s="470"/>
    </row>
    <row r="1624" spans="14:14" x14ac:dyDescent="0.2">
      <c r="N1624" s="470"/>
    </row>
    <row r="1625" spans="14:14" x14ac:dyDescent="0.2">
      <c r="N1625" s="470"/>
    </row>
    <row r="1626" spans="14:14" x14ac:dyDescent="0.2">
      <c r="N1626" s="470"/>
    </row>
    <row r="1627" spans="14:14" x14ac:dyDescent="0.2">
      <c r="N1627" s="470"/>
    </row>
    <row r="1628" spans="14:14" x14ac:dyDescent="0.2">
      <c r="N1628" s="470"/>
    </row>
    <row r="1629" spans="14:14" x14ac:dyDescent="0.2">
      <c r="N1629" s="470"/>
    </row>
    <row r="1630" spans="14:14" x14ac:dyDescent="0.2">
      <c r="N1630" s="470"/>
    </row>
    <row r="1631" spans="14:14" x14ac:dyDescent="0.2">
      <c r="N1631" s="470"/>
    </row>
    <row r="1632" spans="14:14" x14ac:dyDescent="0.2">
      <c r="N1632" s="470"/>
    </row>
    <row r="1633" spans="14:14" x14ac:dyDescent="0.2">
      <c r="N1633" s="470"/>
    </row>
    <row r="1634" spans="14:14" x14ac:dyDescent="0.2">
      <c r="N1634" s="470"/>
    </row>
    <row r="1635" spans="14:14" x14ac:dyDescent="0.2">
      <c r="N1635" s="470"/>
    </row>
    <row r="1636" spans="14:14" x14ac:dyDescent="0.2">
      <c r="N1636" s="470"/>
    </row>
    <row r="1637" spans="14:14" x14ac:dyDescent="0.2">
      <c r="N1637" s="470"/>
    </row>
    <row r="1638" spans="14:14" x14ac:dyDescent="0.2">
      <c r="N1638" s="470"/>
    </row>
    <row r="1639" spans="14:14" x14ac:dyDescent="0.2">
      <c r="N1639" s="470"/>
    </row>
    <row r="1640" spans="14:14" x14ac:dyDescent="0.2">
      <c r="N1640" s="470"/>
    </row>
    <row r="1641" spans="14:14" x14ac:dyDescent="0.2">
      <c r="N1641" s="470"/>
    </row>
    <row r="1642" spans="14:14" x14ac:dyDescent="0.2">
      <c r="N1642" s="470"/>
    </row>
    <row r="1643" spans="14:14" x14ac:dyDescent="0.2">
      <c r="N1643" s="470"/>
    </row>
    <row r="1644" spans="14:14" x14ac:dyDescent="0.2">
      <c r="N1644" s="470"/>
    </row>
    <row r="1645" spans="14:14" x14ac:dyDescent="0.2">
      <c r="N1645" s="470"/>
    </row>
    <row r="1646" spans="14:14" x14ac:dyDescent="0.2">
      <c r="N1646" s="470"/>
    </row>
    <row r="1647" spans="14:14" x14ac:dyDescent="0.2">
      <c r="N1647" s="470"/>
    </row>
    <row r="1648" spans="14:14" x14ac:dyDescent="0.2">
      <c r="N1648" s="470"/>
    </row>
    <row r="1649" spans="14:14" x14ac:dyDescent="0.2">
      <c r="N1649" s="470"/>
    </row>
    <row r="1650" spans="14:14" x14ac:dyDescent="0.2">
      <c r="N1650" s="470"/>
    </row>
    <row r="1651" spans="14:14" x14ac:dyDescent="0.2">
      <c r="N1651" s="470"/>
    </row>
    <row r="1652" spans="14:14" x14ac:dyDescent="0.2">
      <c r="N1652" s="470"/>
    </row>
    <row r="1653" spans="14:14" x14ac:dyDescent="0.2">
      <c r="N1653" s="470"/>
    </row>
    <row r="1654" spans="14:14" x14ac:dyDescent="0.2">
      <c r="N1654" s="470"/>
    </row>
    <row r="1655" spans="14:14" x14ac:dyDescent="0.2">
      <c r="N1655" s="470"/>
    </row>
    <row r="1656" spans="14:14" x14ac:dyDescent="0.2">
      <c r="N1656" s="470"/>
    </row>
    <row r="1657" spans="14:14" x14ac:dyDescent="0.2">
      <c r="N1657" s="470"/>
    </row>
    <row r="1658" spans="14:14" x14ac:dyDescent="0.2">
      <c r="N1658" s="470"/>
    </row>
    <row r="1659" spans="14:14" x14ac:dyDescent="0.2">
      <c r="N1659" s="470"/>
    </row>
    <row r="1660" spans="14:14" x14ac:dyDescent="0.2">
      <c r="N1660" s="470"/>
    </row>
    <row r="1661" spans="14:14" x14ac:dyDescent="0.2">
      <c r="N1661" s="470"/>
    </row>
    <row r="1662" spans="14:14" x14ac:dyDescent="0.2">
      <c r="N1662" s="470"/>
    </row>
    <row r="1663" spans="14:14" x14ac:dyDescent="0.2">
      <c r="N1663" s="470"/>
    </row>
    <row r="1664" spans="14:14" x14ac:dyDescent="0.2">
      <c r="N1664" s="470"/>
    </row>
    <row r="1665" spans="14:14" x14ac:dyDescent="0.2">
      <c r="N1665" s="470"/>
    </row>
    <row r="1666" spans="14:14" x14ac:dyDescent="0.2">
      <c r="N1666" s="470"/>
    </row>
    <row r="1667" spans="14:14" x14ac:dyDescent="0.2">
      <c r="N1667" s="470"/>
    </row>
    <row r="1668" spans="14:14" x14ac:dyDescent="0.2">
      <c r="N1668" s="470"/>
    </row>
    <row r="1669" spans="14:14" x14ac:dyDescent="0.2">
      <c r="N1669" s="470"/>
    </row>
    <row r="1670" spans="14:14" x14ac:dyDescent="0.2">
      <c r="N1670" s="470"/>
    </row>
    <row r="1671" spans="14:14" x14ac:dyDescent="0.2">
      <c r="N1671" s="470"/>
    </row>
    <row r="1672" spans="14:14" x14ac:dyDescent="0.2">
      <c r="N1672" s="470"/>
    </row>
    <row r="1673" spans="14:14" x14ac:dyDescent="0.2">
      <c r="N1673" s="470"/>
    </row>
    <row r="1674" spans="14:14" x14ac:dyDescent="0.2">
      <c r="N1674" s="470"/>
    </row>
    <row r="1675" spans="14:14" x14ac:dyDescent="0.2">
      <c r="N1675" s="470"/>
    </row>
    <row r="1676" spans="14:14" x14ac:dyDescent="0.2">
      <c r="N1676" s="470"/>
    </row>
    <row r="1677" spans="14:14" x14ac:dyDescent="0.2">
      <c r="N1677" s="470"/>
    </row>
    <row r="1678" spans="14:14" x14ac:dyDescent="0.2">
      <c r="N1678" s="470"/>
    </row>
    <row r="1679" spans="14:14" x14ac:dyDescent="0.2">
      <c r="N1679" s="470"/>
    </row>
    <row r="1680" spans="14:14" x14ac:dyDescent="0.2">
      <c r="N1680" s="470"/>
    </row>
    <row r="1681" spans="14:14" x14ac:dyDescent="0.2">
      <c r="N1681" s="470"/>
    </row>
    <row r="1682" spans="14:14" x14ac:dyDescent="0.2">
      <c r="N1682" s="470"/>
    </row>
    <row r="1683" spans="14:14" x14ac:dyDescent="0.2">
      <c r="N1683" s="470"/>
    </row>
    <row r="1684" spans="14:14" x14ac:dyDescent="0.2">
      <c r="N1684" s="470"/>
    </row>
    <row r="1685" spans="14:14" x14ac:dyDescent="0.2">
      <c r="N1685" s="470"/>
    </row>
    <row r="1686" spans="14:14" x14ac:dyDescent="0.2">
      <c r="N1686" s="470"/>
    </row>
    <row r="1687" spans="14:14" x14ac:dyDescent="0.2">
      <c r="N1687" s="470"/>
    </row>
    <row r="1688" spans="14:14" x14ac:dyDescent="0.2">
      <c r="N1688" s="470"/>
    </row>
    <row r="1689" spans="14:14" x14ac:dyDescent="0.2">
      <c r="N1689" s="470"/>
    </row>
    <row r="1690" spans="14:14" x14ac:dyDescent="0.2">
      <c r="N1690" s="470"/>
    </row>
    <row r="1691" spans="14:14" x14ac:dyDescent="0.2">
      <c r="N1691" s="470"/>
    </row>
    <row r="1692" spans="14:14" x14ac:dyDescent="0.2">
      <c r="N1692" s="470"/>
    </row>
    <row r="1693" spans="14:14" x14ac:dyDescent="0.2">
      <c r="N1693" s="470"/>
    </row>
    <row r="1694" spans="14:14" x14ac:dyDescent="0.2">
      <c r="N1694" s="470"/>
    </row>
    <row r="1695" spans="14:14" x14ac:dyDescent="0.2">
      <c r="N1695" s="470"/>
    </row>
    <row r="1696" spans="14:14" x14ac:dyDescent="0.2">
      <c r="N1696" s="470"/>
    </row>
    <row r="1697" spans="14:14" x14ac:dyDescent="0.2">
      <c r="N1697" s="470"/>
    </row>
    <row r="1698" spans="14:14" x14ac:dyDescent="0.2">
      <c r="N1698" s="470"/>
    </row>
    <row r="1699" spans="14:14" x14ac:dyDescent="0.2">
      <c r="N1699" s="470"/>
    </row>
    <row r="1700" spans="14:14" x14ac:dyDescent="0.2">
      <c r="N1700" s="470"/>
    </row>
    <row r="1701" spans="14:14" x14ac:dyDescent="0.2">
      <c r="N1701" s="470"/>
    </row>
    <row r="1702" spans="14:14" x14ac:dyDescent="0.2">
      <c r="N1702" s="470"/>
    </row>
    <row r="1703" spans="14:14" x14ac:dyDescent="0.2">
      <c r="N1703" s="470"/>
    </row>
    <row r="1704" spans="14:14" x14ac:dyDescent="0.2">
      <c r="N1704" s="470"/>
    </row>
    <row r="1705" spans="14:14" x14ac:dyDescent="0.2">
      <c r="N1705" s="470"/>
    </row>
    <row r="1706" spans="14:14" x14ac:dyDescent="0.2">
      <c r="N1706" s="470"/>
    </row>
    <row r="1707" spans="14:14" x14ac:dyDescent="0.2">
      <c r="N1707" s="470"/>
    </row>
    <row r="1708" spans="14:14" x14ac:dyDescent="0.2">
      <c r="N1708" s="470"/>
    </row>
    <row r="1709" spans="14:14" x14ac:dyDescent="0.2">
      <c r="N1709" s="470"/>
    </row>
    <row r="1710" spans="14:14" x14ac:dyDescent="0.2">
      <c r="N1710" s="470"/>
    </row>
    <row r="1711" spans="14:14" x14ac:dyDescent="0.2">
      <c r="N1711" s="470"/>
    </row>
    <row r="1712" spans="14:14" x14ac:dyDescent="0.2">
      <c r="N1712" s="470"/>
    </row>
    <row r="1713" spans="14:14" x14ac:dyDescent="0.2">
      <c r="N1713" s="470"/>
    </row>
    <row r="1714" spans="14:14" x14ac:dyDescent="0.2">
      <c r="N1714" s="470"/>
    </row>
    <row r="1715" spans="14:14" x14ac:dyDescent="0.2">
      <c r="N1715" s="470"/>
    </row>
    <row r="1716" spans="14:14" x14ac:dyDescent="0.2">
      <c r="N1716" s="470"/>
    </row>
    <row r="1717" spans="14:14" x14ac:dyDescent="0.2">
      <c r="N1717" s="470"/>
    </row>
    <row r="1718" spans="14:14" x14ac:dyDescent="0.2">
      <c r="N1718" s="470"/>
    </row>
    <row r="1719" spans="14:14" x14ac:dyDescent="0.2">
      <c r="N1719" s="470"/>
    </row>
    <row r="1720" spans="14:14" x14ac:dyDescent="0.2">
      <c r="N1720" s="470"/>
    </row>
    <row r="1721" spans="14:14" x14ac:dyDescent="0.2">
      <c r="N1721" s="470"/>
    </row>
    <row r="1722" spans="14:14" x14ac:dyDescent="0.2">
      <c r="N1722" s="470"/>
    </row>
    <row r="1723" spans="14:14" x14ac:dyDescent="0.2">
      <c r="N1723" s="470"/>
    </row>
    <row r="1724" spans="14:14" x14ac:dyDescent="0.2">
      <c r="N1724" s="470"/>
    </row>
    <row r="1725" spans="14:14" x14ac:dyDescent="0.2">
      <c r="N1725" s="470"/>
    </row>
    <row r="1726" spans="14:14" x14ac:dyDescent="0.2">
      <c r="N1726" s="470"/>
    </row>
    <row r="1727" spans="14:14" x14ac:dyDescent="0.2">
      <c r="N1727" s="470"/>
    </row>
    <row r="1728" spans="14:14" x14ac:dyDescent="0.2">
      <c r="N1728" s="470"/>
    </row>
    <row r="1729" spans="14:14" x14ac:dyDescent="0.2">
      <c r="N1729" s="470"/>
    </row>
    <row r="1730" spans="14:14" x14ac:dyDescent="0.2">
      <c r="N1730" s="470"/>
    </row>
    <row r="1731" spans="14:14" x14ac:dyDescent="0.2">
      <c r="N1731" s="470"/>
    </row>
    <row r="1732" spans="14:14" x14ac:dyDescent="0.2">
      <c r="N1732" s="470"/>
    </row>
    <row r="1733" spans="14:14" x14ac:dyDescent="0.2">
      <c r="N1733" s="470"/>
    </row>
    <row r="1734" spans="14:14" x14ac:dyDescent="0.2">
      <c r="N1734" s="470"/>
    </row>
    <row r="1735" spans="14:14" x14ac:dyDescent="0.2">
      <c r="N1735" s="470"/>
    </row>
    <row r="1736" spans="14:14" x14ac:dyDescent="0.2">
      <c r="N1736" s="470"/>
    </row>
    <row r="1737" spans="14:14" x14ac:dyDescent="0.2">
      <c r="N1737" s="470"/>
    </row>
    <row r="1738" spans="14:14" x14ac:dyDescent="0.2">
      <c r="N1738" s="470"/>
    </row>
    <row r="1739" spans="14:14" x14ac:dyDescent="0.2">
      <c r="N1739" s="470"/>
    </row>
    <row r="1740" spans="14:14" x14ac:dyDescent="0.2">
      <c r="N1740" s="470"/>
    </row>
    <row r="1741" spans="14:14" x14ac:dyDescent="0.2">
      <c r="N1741" s="470"/>
    </row>
    <row r="1742" spans="14:14" x14ac:dyDescent="0.2">
      <c r="N1742" s="470"/>
    </row>
    <row r="1743" spans="14:14" x14ac:dyDescent="0.2">
      <c r="N1743" s="470"/>
    </row>
    <row r="1744" spans="14:14" x14ac:dyDescent="0.2">
      <c r="N1744" s="470"/>
    </row>
    <row r="1745" spans="14:14" x14ac:dyDescent="0.2">
      <c r="N1745" s="470"/>
    </row>
    <row r="1746" spans="14:14" x14ac:dyDescent="0.2">
      <c r="N1746" s="470"/>
    </row>
    <row r="1747" spans="14:14" x14ac:dyDescent="0.2">
      <c r="N1747" s="470"/>
    </row>
    <row r="1748" spans="14:14" x14ac:dyDescent="0.2">
      <c r="N1748" s="470"/>
    </row>
    <row r="1749" spans="14:14" x14ac:dyDescent="0.2">
      <c r="N1749" s="470"/>
    </row>
    <row r="1750" spans="14:14" x14ac:dyDescent="0.2">
      <c r="N1750" s="470"/>
    </row>
    <row r="1751" spans="14:14" x14ac:dyDescent="0.2">
      <c r="N1751" s="470"/>
    </row>
    <row r="1752" spans="14:14" x14ac:dyDescent="0.2">
      <c r="N1752" s="470"/>
    </row>
    <row r="1753" spans="14:14" x14ac:dyDescent="0.2">
      <c r="N1753" s="470"/>
    </row>
    <row r="1754" spans="14:14" x14ac:dyDescent="0.2">
      <c r="N1754" s="470"/>
    </row>
    <row r="1755" spans="14:14" x14ac:dyDescent="0.2">
      <c r="N1755" s="470"/>
    </row>
    <row r="1756" spans="14:14" x14ac:dyDescent="0.2">
      <c r="N1756" s="470"/>
    </row>
    <row r="1757" spans="14:14" x14ac:dyDescent="0.2">
      <c r="N1757" s="470"/>
    </row>
    <row r="1758" spans="14:14" x14ac:dyDescent="0.2">
      <c r="N1758" s="470"/>
    </row>
    <row r="1759" spans="14:14" x14ac:dyDescent="0.2">
      <c r="N1759" s="470"/>
    </row>
    <row r="1760" spans="14:14" x14ac:dyDescent="0.2">
      <c r="N1760" s="470"/>
    </row>
    <row r="1761" spans="14:14" x14ac:dyDescent="0.2">
      <c r="N1761" s="470"/>
    </row>
    <row r="1762" spans="14:14" x14ac:dyDescent="0.2">
      <c r="N1762" s="470"/>
    </row>
    <row r="1763" spans="14:14" x14ac:dyDescent="0.2">
      <c r="N1763" s="470"/>
    </row>
    <row r="1764" spans="14:14" x14ac:dyDescent="0.2">
      <c r="N1764" s="470"/>
    </row>
    <row r="1765" spans="14:14" x14ac:dyDescent="0.2">
      <c r="N1765" s="470"/>
    </row>
    <row r="1766" spans="14:14" x14ac:dyDescent="0.2">
      <c r="N1766" s="470"/>
    </row>
    <row r="1767" spans="14:14" x14ac:dyDescent="0.2">
      <c r="N1767" s="470"/>
    </row>
    <row r="1768" spans="14:14" x14ac:dyDescent="0.2">
      <c r="N1768" s="470"/>
    </row>
    <row r="1769" spans="14:14" x14ac:dyDescent="0.2">
      <c r="N1769" s="470"/>
    </row>
    <row r="1770" spans="14:14" x14ac:dyDescent="0.2">
      <c r="N1770" s="470"/>
    </row>
    <row r="1771" spans="14:14" x14ac:dyDescent="0.2">
      <c r="N1771" s="470"/>
    </row>
    <row r="1772" spans="14:14" x14ac:dyDescent="0.2">
      <c r="N1772" s="470"/>
    </row>
    <row r="1773" spans="14:14" x14ac:dyDescent="0.2">
      <c r="N1773" s="470"/>
    </row>
    <row r="1774" spans="14:14" x14ac:dyDescent="0.2">
      <c r="N1774" s="470"/>
    </row>
    <row r="1775" spans="14:14" x14ac:dyDescent="0.2">
      <c r="N1775" s="470"/>
    </row>
    <row r="1776" spans="14:14" x14ac:dyDescent="0.2">
      <c r="N1776" s="470"/>
    </row>
    <row r="1777" spans="14:14" x14ac:dyDescent="0.2">
      <c r="N1777" s="470"/>
    </row>
    <row r="1778" spans="14:14" x14ac:dyDescent="0.2">
      <c r="N1778" s="470"/>
    </row>
    <row r="1779" spans="14:14" x14ac:dyDescent="0.2">
      <c r="N1779" s="470"/>
    </row>
    <row r="1780" spans="14:14" x14ac:dyDescent="0.2">
      <c r="N1780" s="470"/>
    </row>
    <row r="1781" spans="14:14" x14ac:dyDescent="0.2">
      <c r="N1781" s="470"/>
    </row>
    <row r="1782" spans="14:14" x14ac:dyDescent="0.2">
      <c r="N1782" s="470"/>
    </row>
    <row r="1783" spans="14:14" x14ac:dyDescent="0.2">
      <c r="N1783" s="470"/>
    </row>
    <row r="1784" spans="14:14" x14ac:dyDescent="0.2">
      <c r="N1784" s="470"/>
    </row>
    <row r="1785" spans="14:14" x14ac:dyDescent="0.2">
      <c r="N1785" s="470"/>
    </row>
    <row r="1786" spans="14:14" x14ac:dyDescent="0.2">
      <c r="N1786" s="470"/>
    </row>
    <row r="1787" spans="14:14" x14ac:dyDescent="0.2">
      <c r="N1787" s="470"/>
    </row>
    <row r="1788" spans="14:14" x14ac:dyDescent="0.2">
      <c r="N1788" s="470"/>
    </row>
    <row r="1789" spans="14:14" x14ac:dyDescent="0.2">
      <c r="N1789" s="470"/>
    </row>
    <row r="1790" spans="14:14" x14ac:dyDescent="0.2">
      <c r="N1790" s="470"/>
    </row>
    <row r="1791" spans="14:14" x14ac:dyDescent="0.2">
      <c r="N1791" s="470"/>
    </row>
    <row r="1792" spans="14:14" x14ac:dyDescent="0.2">
      <c r="N1792" s="470"/>
    </row>
    <row r="1793" spans="14:14" x14ac:dyDescent="0.2">
      <c r="N1793" s="470"/>
    </row>
    <row r="1794" spans="14:14" x14ac:dyDescent="0.2">
      <c r="N1794" s="470"/>
    </row>
    <row r="1795" spans="14:14" x14ac:dyDescent="0.2">
      <c r="N1795" s="470"/>
    </row>
    <row r="1796" spans="14:14" x14ac:dyDescent="0.2">
      <c r="N1796" s="470"/>
    </row>
    <row r="1797" spans="14:14" x14ac:dyDescent="0.2">
      <c r="N1797" s="470"/>
    </row>
    <row r="1798" spans="14:14" x14ac:dyDescent="0.2">
      <c r="N1798" s="470"/>
    </row>
    <row r="1799" spans="14:14" x14ac:dyDescent="0.2">
      <c r="N1799" s="470"/>
    </row>
    <row r="1800" spans="14:14" x14ac:dyDescent="0.2">
      <c r="N1800" s="470"/>
    </row>
    <row r="1801" spans="14:14" x14ac:dyDescent="0.2">
      <c r="N1801" s="470"/>
    </row>
    <row r="1802" spans="14:14" x14ac:dyDescent="0.2">
      <c r="N1802" s="470"/>
    </row>
    <row r="1803" spans="14:14" x14ac:dyDescent="0.2">
      <c r="N1803" s="470"/>
    </row>
    <row r="1804" spans="14:14" x14ac:dyDescent="0.2">
      <c r="N1804" s="470"/>
    </row>
    <row r="1805" spans="14:14" x14ac:dyDescent="0.2">
      <c r="N1805" s="470"/>
    </row>
    <row r="1806" spans="14:14" x14ac:dyDescent="0.2">
      <c r="N1806" s="470"/>
    </row>
    <row r="1807" spans="14:14" x14ac:dyDescent="0.2">
      <c r="N1807" s="470"/>
    </row>
    <row r="1808" spans="14:14" x14ac:dyDescent="0.2">
      <c r="N1808" s="470"/>
    </row>
    <row r="1809" spans="14:14" x14ac:dyDescent="0.2">
      <c r="N1809" s="470"/>
    </row>
    <row r="1810" spans="14:14" x14ac:dyDescent="0.2">
      <c r="N1810" s="470"/>
    </row>
    <row r="1811" spans="14:14" x14ac:dyDescent="0.2">
      <c r="N1811" s="470"/>
    </row>
    <row r="1812" spans="14:14" x14ac:dyDescent="0.2">
      <c r="N1812" s="470"/>
    </row>
    <row r="1813" spans="14:14" x14ac:dyDescent="0.2">
      <c r="N1813" s="470"/>
    </row>
    <row r="1814" spans="14:14" x14ac:dyDescent="0.2">
      <c r="N1814" s="470"/>
    </row>
    <row r="1815" spans="14:14" x14ac:dyDescent="0.2">
      <c r="N1815" s="470"/>
    </row>
    <row r="1816" spans="14:14" x14ac:dyDescent="0.2">
      <c r="N1816" s="470"/>
    </row>
    <row r="1817" spans="14:14" x14ac:dyDescent="0.2">
      <c r="N1817" s="470"/>
    </row>
    <row r="1818" spans="14:14" x14ac:dyDescent="0.2">
      <c r="N1818" s="470"/>
    </row>
    <row r="1819" spans="14:14" x14ac:dyDescent="0.2">
      <c r="N1819" s="470"/>
    </row>
    <row r="1820" spans="14:14" x14ac:dyDescent="0.2">
      <c r="N1820" s="470"/>
    </row>
    <row r="1821" spans="14:14" x14ac:dyDescent="0.2">
      <c r="N1821" s="470"/>
    </row>
    <row r="1822" spans="14:14" x14ac:dyDescent="0.2">
      <c r="N1822" s="470"/>
    </row>
    <row r="1823" spans="14:14" x14ac:dyDescent="0.2">
      <c r="N1823" s="470"/>
    </row>
    <row r="1824" spans="14:14" x14ac:dyDescent="0.2">
      <c r="N1824" s="470"/>
    </row>
    <row r="1825" spans="14:14" x14ac:dyDescent="0.2">
      <c r="N1825" s="470"/>
    </row>
    <row r="1826" spans="14:14" x14ac:dyDescent="0.2">
      <c r="N1826" s="470"/>
    </row>
    <row r="1827" spans="14:14" x14ac:dyDescent="0.2">
      <c r="N1827" s="470"/>
    </row>
    <row r="1828" spans="14:14" x14ac:dyDescent="0.2">
      <c r="N1828" s="470"/>
    </row>
    <row r="1829" spans="14:14" x14ac:dyDescent="0.2">
      <c r="N1829" s="470"/>
    </row>
    <row r="1830" spans="14:14" x14ac:dyDescent="0.2">
      <c r="N1830" s="470"/>
    </row>
    <row r="1831" spans="14:14" x14ac:dyDescent="0.2">
      <c r="N1831" s="470"/>
    </row>
    <row r="1832" spans="14:14" x14ac:dyDescent="0.2">
      <c r="N1832" s="470"/>
    </row>
    <row r="1833" spans="14:14" x14ac:dyDescent="0.2">
      <c r="N1833" s="470"/>
    </row>
    <row r="1834" spans="14:14" x14ac:dyDescent="0.2">
      <c r="N1834" s="470"/>
    </row>
    <row r="1835" spans="14:14" x14ac:dyDescent="0.2">
      <c r="N1835" s="470"/>
    </row>
    <row r="1836" spans="14:14" x14ac:dyDescent="0.2">
      <c r="N1836" s="470"/>
    </row>
    <row r="1837" spans="14:14" x14ac:dyDescent="0.2">
      <c r="N1837" s="470"/>
    </row>
    <row r="1838" spans="14:14" x14ac:dyDescent="0.2">
      <c r="N1838" s="470"/>
    </row>
    <row r="1839" spans="14:14" x14ac:dyDescent="0.2">
      <c r="N1839" s="470"/>
    </row>
    <row r="1840" spans="14:14" x14ac:dyDescent="0.2">
      <c r="N1840" s="470"/>
    </row>
    <row r="1841" spans="14:14" x14ac:dyDescent="0.2">
      <c r="N1841" s="470"/>
    </row>
    <row r="1842" spans="14:14" x14ac:dyDescent="0.2">
      <c r="N1842" s="470"/>
    </row>
    <row r="1843" spans="14:14" x14ac:dyDescent="0.2">
      <c r="N1843" s="470"/>
    </row>
    <row r="1844" spans="14:14" x14ac:dyDescent="0.2">
      <c r="N1844" s="470"/>
    </row>
    <row r="1845" spans="14:14" x14ac:dyDescent="0.2">
      <c r="N1845" s="470"/>
    </row>
    <row r="1846" spans="14:14" x14ac:dyDescent="0.2">
      <c r="N1846" s="470"/>
    </row>
    <row r="1847" spans="14:14" x14ac:dyDescent="0.2">
      <c r="N1847" s="470"/>
    </row>
    <row r="1848" spans="14:14" x14ac:dyDescent="0.2">
      <c r="N1848" s="470"/>
    </row>
    <row r="1849" spans="14:14" x14ac:dyDescent="0.2">
      <c r="N1849" s="470"/>
    </row>
    <row r="1850" spans="14:14" x14ac:dyDescent="0.2">
      <c r="N1850" s="470"/>
    </row>
    <row r="1851" spans="14:14" x14ac:dyDescent="0.2">
      <c r="N1851" s="470"/>
    </row>
    <row r="1852" spans="14:14" x14ac:dyDescent="0.2">
      <c r="N1852" s="470"/>
    </row>
    <row r="1853" spans="14:14" x14ac:dyDescent="0.2">
      <c r="N1853" s="470"/>
    </row>
    <row r="1854" spans="14:14" x14ac:dyDescent="0.2">
      <c r="N1854" s="470"/>
    </row>
    <row r="1855" spans="14:14" x14ac:dyDescent="0.2">
      <c r="N1855" s="470"/>
    </row>
    <row r="1856" spans="14:14" x14ac:dyDescent="0.2">
      <c r="N1856" s="470"/>
    </row>
    <row r="1857" spans="14:14" x14ac:dyDescent="0.2">
      <c r="N1857" s="470"/>
    </row>
    <row r="1858" spans="14:14" x14ac:dyDescent="0.2">
      <c r="N1858" s="470"/>
    </row>
    <row r="1859" spans="14:14" x14ac:dyDescent="0.2">
      <c r="N1859" s="470"/>
    </row>
    <row r="1860" spans="14:14" x14ac:dyDescent="0.2">
      <c r="N1860" s="470"/>
    </row>
    <row r="1861" spans="14:14" x14ac:dyDescent="0.2">
      <c r="N1861" s="470"/>
    </row>
    <row r="1862" spans="14:14" x14ac:dyDescent="0.2">
      <c r="N1862" s="470"/>
    </row>
    <row r="1863" spans="14:14" x14ac:dyDescent="0.2">
      <c r="N1863" s="470"/>
    </row>
    <row r="1864" spans="14:14" x14ac:dyDescent="0.2">
      <c r="N1864" s="470"/>
    </row>
    <row r="1865" spans="14:14" x14ac:dyDescent="0.2">
      <c r="N1865" s="470"/>
    </row>
    <row r="1866" spans="14:14" x14ac:dyDescent="0.2">
      <c r="N1866" s="470"/>
    </row>
    <row r="1867" spans="14:14" x14ac:dyDescent="0.2">
      <c r="N1867" s="470"/>
    </row>
    <row r="1868" spans="14:14" x14ac:dyDescent="0.2">
      <c r="N1868" s="470"/>
    </row>
    <row r="1869" spans="14:14" x14ac:dyDescent="0.2">
      <c r="N1869" s="470"/>
    </row>
    <row r="1870" spans="14:14" x14ac:dyDescent="0.2">
      <c r="N1870" s="470"/>
    </row>
    <row r="1871" spans="14:14" x14ac:dyDescent="0.2">
      <c r="N1871" s="470"/>
    </row>
    <row r="1872" spans="14:14" x14ac:dyDescent="0.2">
      <c r="N1872" s="470"/>
    </row>
    <row r="1873" spans="14:14" x14ac:dyDescent="0.2">
      <c r="N1873" s="470"/>
    </row>
    <row r="1874" spans="14:14" x14ac:dyDescent="0.2">
      <c r="N1874" s="470"/>
    </row>
    <row r="1875" spans="14:14" x14ac:dyDescent="0.2">
      <c r="N1875" s="470"/>
    </row>
    <row r="1876" spans="14:14" x14ac:dyDescent="0.2">
      <c r="N1876" s="470"/>
    </row>
    <row r="1877" spans="14:14" x14ac:dyDescent="0.2">
      <c r="N1877" s="470"/>
    </row>
    <row r="1878" spans="14:14" x14ac:dyDescent="0.2">
      <c r="N1878" s="470"/>
    </row>
    <row r="1879" spans="14:14" x14ac:dyDescent="0.2">
      <c r="N1879" s="470"/>
    </row>
    <row r="1880" spans="14:14" x14ac:dyDescent="0.2">
      <c r="N1880" s="470"/>
    </row>
    <row r="1881" spans="14:14" x14ac:dyDescent="0.2">
      <c r="N1881" s="470"/>
    </row>
    <row r="1882" spans="14:14" x14ac:dyDescent="0.2">
      <c r="N1882" s="470"/>
    </row>
    <row r="1883" spans="14:14" x14ac:dyDescent="0.2">
      <c r="N1883" s="470"/>
    </row>
    <row r="1884" spans="14:14" x14ac:dyDescent="0.2">
      <c r="N1884" s="470"/>
    </row>
    <row r="1885" spans="14:14" x14ac:dyDescent="0.2">
      <c r="N1885" s="470"/>
    </row>
    <row r="1886" spans="14:14" x14ac:dyDescent="0.2">
      <c r="N1886" s="470"/>
    </row>
    <row r="1887" spans="14:14" x14ac:dyDescent="0.2">
      <c r="N1887" s="470"/>
    </row>
    <row r="1888" spans="14:14" x14ac:dyDescent="0.2">
      <c r="N1888" s="470"/>
    </row>
    <row r="1889" spans="14:14" x14ac:dyDescent="0.2">
      <c r="N1889" s="470"/>
    </row>
    <row r="1890" spans="14:14" x14ac:dyDescent="0.2">
      <c r="N1890" s="470"/>
    </row>
    <row r="1891" spans="14:14" x14ac:dyDescent="0.2">
      <c r="N1891" s="470"/>
    </row>
    <row r="1892" spans="14:14" x14ac:dyDescent="0.2">
      <c r="N1892" s="470"/>
    </row>
    <row r="1893" spans="14:14" x14ac:dyDescent="0.2">
      <c r="N1893" s="470"/>
    </row>
    <row r="1894" spans="14:14" x14ac:dyDescent="0.2">
      <c r="N1894" s="470"/>
    </row>
    <row r="1895" spans="14:14" x14ac:dyDescent="0.2">
      <c r="N1895" s="470"/>
    </row>
    <row r="1896" spans="14:14" x14ac:dyDescent="0.2">
      <c r="N1896" s="470"/>
    </row>
    <row r="1897" spans="14:14" x14ac:dyDescent="0.2">
      <c r="N1897" s="470"/>
    </row>
    <row r="1898" spans="14:14" x14ac:dyDescent="0.2">
      <c r="N1898" s="470"/>
    </row>
    <row r="1899" spans="14:14" x14ac:dyDescent="0.2">
      <c r="N1899" s="470"/>
    </row>
    <row r="1900" spans="14:14" x14ac:dyDescent="0.2">
      <c r="N1900" s="470"/>
    </row>
    <row r="1901" spans="14:14" x14ac:dyDescent="0.2">
      <c r="N1901" s="470"/>
    </row>
    <row r="1902" spans="14:14" x14ac:dyDescent="0.2">
      <c r="N1902" s="470"/>
    </row>
    <row r="1903" spans="14:14" x14ac:dyDescent="0.2">
      <c r="N1903" s="470"/>
    </row>
    <row r="1904" spans="14:14" x14ac:dyDescent="0.2">
      <c r="N1904" s="470"/>
    </row>
    <row r="1905" spans="14:14" x14ac:dyDescent="0.2">
      <c r="N1905" s="470"/>
    </row>
    <row r="1906" spans="14:14" x14ac:dyDescent="0.2">
      <c r="N1906" s="470"/>
    </row>
    <row r="1907" spans="14:14" x14ac:dyDescent="0.2">
      <c r="N1907" s="470"/>
    </row>
    <row r="1908" spans="14:14" x14ac:dyDescent="0.2">
      <c r="N1908" s="470"/>
    </row>
    <row r="1909" spans="14:14" x14ac:dyDescent="0.2">
      <c r="N1909" s="470"/>
    </row>
    <row r="1910" spans="14:14" x14ac:dyDescent="0.2">
      <c r="N1910" s="470"/>
    </row>
    <row r="1911" spans="14:14" x14ac:dyDescent="0.2">
      <c r="N1911" s="470"/>
    </row>
    <row r="1912" spans="14:14" x14ac:dyDescent="0.2">
      <c r="N1912" s="470"/>
    </row>
    <row r="1913" spans="14:14" x14ac:dyDescent="0.2">
      <c r="N1913" s="470"/>
    </row>
    <row r="1914" spans="14:14" x14ac:dyDescent="0.2">
      <c r="N1914" s="470"/>
    </row>
    <row r="1915" spans="14:14" x14ac:dyDescent="0.2">
      <c r="N1915" s="470"/>
    </row>
    <row r="1916" spans="14:14" x14ac:dyDescent="0.2">
      <c r="N1916" s="470"/>
    </row>
    <row r="1917" spans="14:14" x14ac:dyDescent="0.2">
      <c r="N1917" s="470"/>
    </row>
    <row r="1918" spans="14:14" x14ac:dyDescent="0.2">
      <c r="N1918" s="470"/>
    </row>
    <row r="1919" spans="14:14" x14ac:dyDescent="0.2">
      <c r="N1919" s="470"/>
    </row>
    <row r="1920" spans="14:14" x14ac:dyDescent="0.2">
      <c r="N1920" s="470"/>
    </row>
    <row r="1921" spans="14:14" x14ac:dyDescent="0.2">
      <c r="N1921" s="470"/>
    </row>
    <row r="1922" spans="14:14" x14ac:dyDescent="0.2">
      <c r="N1922" s="470"/>
    </row>
    <row r="1923" spans="14:14" x14ac:dyDescent="0.2">
      <c r="N1923" s="470"/>
    </row>
    <row r="1924" spans="14:14" x14ac:dyDescent="0.2">
      <c r="N1924" s="470"/>
    </row>
    <row r="1925" spans="14:14" x14ac:dyDescent="0.2">
      <c r="N1925" s="470"/>
    </row>
    <row r="1926" spans="14:14" x14ac:dyDescent="0.2">
      <c r="N1926" s="470"/>
    </row>
    <row r="1927" spans="14:14" x14ac:dyDescent="0.2">
      <c r="N1927" s="470"/>
    </row>
    <row r="1928" spans="14:14" x14ac:dyDescent="0.2">
      <c r="N1928" s="470"/>
    </row>
    <row r="1929" spans="14:14" x14ac:dyDescent="0.2">
      <c r="N1929" s="470"/>
    </row>
    <row r="1930" spans="14:14" x14ac:dyDescent="0.2">
      <c r="N1930" s="470"/>
    </row>
  </sheetData>
  <mergeCells count="8">
    <mergeCell ref="W2:X2"/>
    <mergeCell ref="A4:C4"/>
    <mergeCell ref="T1:V1"/>
    <mergeCell ref="T2:V2"/>
    <mergeCell ref="T3:V3"/>
    <mergeCell ref="T4:V4"/>
    <mergeCell ref="H3:M3"/>
    <mergeCell ref="H4:M4"/>
  </mergeCells>
  <hyperlinks>
    <hyperlink ref="D9" location="'Site Work'!A1" display="'Site Work'!A1"/>
    <hyperlink ref="D14" location="'Site Work'!A1" display="'Site Work'!A1"/>
    <hyperlink ref="D18" location="'Site Work'!A1" display="'Site Work'!A1"/>
    <hyperlink ref="D20" location="'Site Work'!A1" display="'Site Work'!A1"/>
    <hyperlink ref="D25" location="'Site Work'!A1" display="'Site Work'!A1"/>
    <hyperlink ref="D29" location="'Site Work'!A1" display="'Site Work'!A1"/>
    <hyperlink ref="D32" location="'Site Work'!A1" display="'Site Work'!A1"/>
    <hyperlink ref="D34" location="'Site Work'!A1" display="'Site Work'!A1"/>
    <hyperlink ref="D35" location="'Site Work'!A1" display="'Site Work'!A1"/>
    <hyperlink ref="D37" location="'Site Work'!A1" display="'Site Work'!A1"/>
    <hyperlink ref="W2" location="'Table of Contents'!A1" display="Table of Content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Pricing Master (16)</vt:lpstr>
      <vt:lpstr>QTO Master (3)</vt:lpstr>
      <vt:lpstr>Table of Contents</vt:lpstr>
      <vt:lpstr>Assumptions</vt:lpstr>
      <vt:lpstr>Recap</vt:lpstr>
      <vt:lpstr>Job Overhead</vt:lpstr>
      <vt:lpstr>SOV</vt:lpstr>
      <vt:lpstr>Site Work</vt:lpstr>
      <vt:lpstr>SW price</vt:lpstr>
      <vt:lpstr>SW price (2)</vt:lpstr>
      <vt:lpstr>Concrete</vt:lpstr>
      <vt:lpstr>Concrete (2)</vt:lpstr>
      <vt:lpstr>Concrete Price</vt:lpstr>
      <vt:lpstr>Masonry</vt:lpstr>
      <vt:lpstr>Masonry Price</vt:lpstr>
      <vt:lpstr>Steel</vt:lpstr>
      <vt:lpstr>Steel Price</vt:lpstr>
      <vt:lpstr>Wood</vt:lpstr>
      <vt:lpstr>Wood Price</vt:lpstr>
      <vt:lpstr>Insulation</vt:lpstr>
      <vt:lpstr>Roofing Price</vt:lpstr>
      <vt:lpstr>Caulking Price</vt:lpstr>
      <vt:lpstr>Doors and Windows</vt:lpstr>
      <vt:lpstr>Doors Windows Price</vt:lpstr>
      <vt:lpstr>Finshes</vt:lpstr>
      <vt:lpstr>Flooring Price</vt:lpstr>
      <vt:lpstr>Gypsum Board Price</vt:lpstr>
      <vt:lpstr>Paint Price</vt:lpstr>
      <vt:lpstr>Specialties</vt:lpstr>
      <vt:lpstr>Specialties Price</vt:lpstr>
      <vt:lpstr>MEP</vt:lpstr>
      <vt:lpstr>MEP Price</vt:lpstr>
      <vt:lpstr> Alternate #1</vt:lpstr>
      <vt:lpstr>Alternate #1 price</vt:lpstr>
      <vt:lpstr>Alternate #2 </vt:lpstr>
      <vt:lpstr>Alternate #2 price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Hunter Himes</cp:lastModifiedBy>
  <cp:lastPrinted>2014-03-19T14:53:10Z</cp:lastPrinted>
  <dcterms:created xsi:type="dcterms:W3CDTF">2014-01-26T23:35:10Z</dcterms:created>
  <dcterms:modified xsi:type="dcterms:W3CDTF">2014-04-16T01:49:23Z</dcterms:modified>
</cp:coreProperties>
</file>